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és com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pivotButton="0" quotePrefix="0" xfId="0"/>
    <xf numFmtId="164" fontId="5" fillId="3" borderId="1" pivotButton="0" quotePrefix="0" xfId="0"/>
    <xf numFmtId="10" fontId="0" fillId="2" borderId="1" pivotButton="0" quotePrefix="0" xfId="0"/>
    <xf numFmtId="3" fontId="0" fillId="2" borderId="1" pivotButton="0" quotePrefix="0" xfId="0"/>
    <xf numFmtId="9" fontId="5" fillId="3" borderId="1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1" fontId="0" fillId="0" borderId="1" pivotButton="0" quotePrefix="0" xfId="0"/>
    <xf numFmtId="164" fontId="0" fillId="0" borderId="1" pivotButton="0" quotePrefix="0" xfId="0"/>
    <xf numFmtId="1" fontId="0" fillId="5" borderId="1" pivotButton="0" quotePrefix="0" xfId="0"/>
    <xf numFmtId="164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2" customWidth="1" min="4" max="4"/>
    <col width="20" customWidth="1" min="5" max="5"/>
  </cols>
  <sheetData>
    <row r="1" ht="26" customHeight="1">
      <c r="A1" s="1" t="inlineStr">
        <is>
          <t>Calculadora de interés compuesto</t>
        </is>
      </c>
    </row>
    <row r="2">
      <c r="A2" s="2" t="inlineStr">
        <is>
          <t>Simulación con interés constante y aportaciones a final de cada mes</t>
        </is>
      </c>
    </row>
    <row r="4">
      <c r="A4" s="3" t="inlineStr">
        <is>
          <t>Capital inicial</t>
        </is>
      </c>
      <c r="B4" s="4" t="n">
        <v>5000</v>
      </c>
      <c r="D4" s="5" t="inlineStr">
        <is>
          <t>Capital final</t>
        </is>
      </c>
      <c r="E4" s="6">
        <f>ROUND(IF($B$6=0,$B$4+$B$5*12*$B$7,$B$4*(1+$B$6/12)^(12*$B$7)+$B$5*((1+$B$6/12)^(12*$B$7)-1)/($B$6/12)),2)</f>
        <v/>
      </c>
    </row>
    <row r="5">
      <c r="A5" s="3" t="inlineStr">
        <is>
          <t>Aportación mensual</t>
        </is>
      </c>
      <c r="B5" s="4" t="n">
        <v>150</v>
      </c>
      <c r="D5" s="5" t="inlineStr">
        <is>
          <t>Total aportado</t>
        </is>
      </c>
      <c r="E5" s="6">
        <f>B4+B5*12*B7</f>
        <v/>
      </c>
    </row>
    <row r="6">
      <c r="A6" s="3" t="inlineStr">
        <is>
          <t>Interés anual</t>
        </is>
      </c>
      <c r="B6" s="7" t="n">
        <v>0.04</v>
      </c>
      <c r="D6" s="5" t="inlineStr">
        <is>
          <t>Intereses generados</t>
        </is>
      </c>
      <c r="E6" s="6">
        <f>E4-E5</f>
        <v/>
      </c>
    </row>
    <row r="7">
      <c r="A7" s="3" t="inlineStr">
        <is>
          <t>Años (de 1 a 40)</t>
        </is>
      </c>
      <c r="B7" s="8" t="n">
        <v>20</v>
      </c>
      <c r="D7" s="5" t="inlineStr">
        <is>
          <t>Intereses sobre el capital final</t>
        </is>
      </c>
      <c r="E7" s="9">
        <f>IFERROR(E6/E4,0)</f>
        <v/>
      </c>
    </row>
    <row r="8">
      <c r="A8" s="10" t="inlineStr">
        <is>
          <t>Los años de más se quedan en blanco. Es una simulación, no una garantía: no incluye impuestos, comisiones ni inflación.</t>
        </is>
      </c>
    </row>
    <row r="10" ht="32" customHeight="1">
      <c r="A10" s="11" t="inlineStr">
        <is>
          <t>Año</t>
        </is>
      </c>
      <c r="B10" s="11" t="inlineStr">
        <is>
          <t>Aportado acumulado</t>
        </is>
      </c>
      <c r="C10" s="11" t="inlineStr">
        <is>
          <t>Intereses acumulados</t>
        </is>
      </c>
      <c r="D10" s="11" t="inlineStr">
        <is>
          <t>Capital al final del año</t>
        </is>
      </c>
      <c r="E10" s="11" t="inlineStr">
        <is>
          <t>Intereses del año</t>
        </is>
      </c>
    </row>
    <row r="11">
      <c r="A11" s="12">
        <f>IF(1&lt;=$B$7,1,"")</f>
        <v/>
      </c>
      <c r="B11" s="13">
        <f>IF(1&lt;=$B$7,$B$4+$B$5*12*1,"")</f>
        <v/>
      </c>
      <c r="C11" s="13">
        <f>IF(1&lt;=$B$7,D11-B11,"")</f>
        <v/>
      </c>
      <c r="D11" s="13">
        <f>IF(1&lt;=$B$7,ROUND(IF($B$6=0,$B$4+$B$5*12*1,$B$4*(1+$B$6/12)^(12*1)+$B$5*((1+$B$6/12)^(12*1)-1)/($B$6/12)),2),"")</f>
        <v/>
      </c>
      <c r="E11" s="13">
        <f>IF(1&lt;=$B$7,D11-$B$4-12*$B$5,"")</f>
        <v/>
      </c>
    </row>
    <row r="12">
      <c r="A12" s="14">
        <f>IF(2&lt;=$B$7,2,"")</f>
        <v/>
      </c>
      <c r="B12" s="15">
        <f>IF(2&lt;=$B$7,$B$4+$B$5*12*2,"")</f>
        <v/>
      </c>
      <c r="C12" s="15">
        <f>IF(2&lt;=$B$7,D12-B12,"")</f>
        <v/>
      </c>
      <c r="D12" s="15">
        <f>IF(2&lt;=$B$7,ROUND(IF($B$6=0,$B$4+$B$5*12*2,$B$4*(1+$B$6/12)^(12*2)+$B$5*((1+$B$6/12)^(12*2)-1)/($B$6/12)),2),"")</f>
        <v/>
      </c>
      <c r="E12" s="15">
        <f>IF(2&lt;=$B$7,D12-D11-12*$B$5,"")</f>
        <v/>
      </c>
    </row>
    <row r="13">
      <c r="A13" s="12">
        <f>IF(3&lt;=$B$7,3,"")</f>
        <v/>
      </c>
      <c r="B13" s="13">
        <f>IF(3&lt;=$B$7,$B$4+$B$5*12*3,"")</f>
        <v/>
      </c>
      <c r="C13" s="13">
        <f>IF(3&lt;=$B$7,D13-B13,"")</f>
        <v/>
      </c>
      <c r="D13" s="13">
        <f>IF(3&lt;=$B$7,ROUND(IF($B$6=0,$B$4+$B$5*12*3,$B$4*(1+$B$6/12)^(12*3)+$B$5*((1+$B$6/12)^(12*3)-1)/($B$6/12)),2),"")</f>
        <v/>
      </c>
      <c r="E13" s="13">
        <f>IF(3&lt;=$B$7,D13-D12-12*$B$5,"")</f>
        <v/>
      </c>
    </row>
    <row r="14">
      <c r="A14" s="14">
        <f>IF(4&lt;=$B$7,4,"")</f>
        <v/>
      </c>
      <c r="B14" s="15">
        <f>IF(4&lt;=$B$7,$B$4+$B$5*12*4,"")</f>
        <v/>
      </c>
      <c r="C14" s="15">
        <f>IF(4&lt;=$B$7,D14-B14,"")</f>
        <v/>
      </c>
      <c r="D14" s="15">
        <f>IF(4&lt;=$B$7,ROUND(IF($B$6=0,$B$4+$B$5*12*4,$B$4*(1+$B$6/12)^(12*4)+$B$5*((1+$B$6/12)^(12*4)-1)/($B$6/12)),2),"")</f>
        <v/>
      </c>
      <c r="E14" s="15">
        <f>IF(4&lt;=$B$7,D14-D13-12*$B$5,"")</f>
        <v/>
      </c>
    </row>
    <row r="15">
      <c r="A15" s="12">
        <f>IF(5&lt;=$B$7,5,"")</f>
        <v/>
      </c>
      <c r="B15" s="13">
        <f>IF(5&lt;=$B$7,$B$4+$B$5*12*5,"")</f>
        <v/>
      </c>
      <c r="C15" s="13">
        <f>IF(5&lt;=$B$7,D15-B15,"")</f>
        <v/>
      </c>
      <c r="D15" s="13">
        <f>IF(5&lt;=$B$7,ROUND(IF($B$6=0,$B$4+$B$5*12*5,$B$4*(1+$B$6/12)^(12*5)+$B$5*((1+$B$6/12)^(12*5)-1)/($B$6/12)),2),"")</f>
        <v/>
      </c>
      <c r="E15" s="13">
        <f>IF(5&lt;=$B$7,D15-D14-12*$B$5,"")</f>
        <v/>
      </c>
    </row>
    <row r="16">
      <c r="A16" s="14">
        <f>IF(6&lt;=$B$7,6,"")</f>
        <v/>
      </c>
      <c r="B16" s="15">
        <f>IF(6&lt;=$B$7,$B$4+$B$5*12*6,"")</f>
        <v/>
      </c>
      <c r="C16" s="15">
        <f>IF(6&lt;=$B$7,D16-B16,"")</f>
        <v/>
      </c>
      <c r="D16" s="15">
        <f>IF(6&lt;=$B$7,ROUND(IF($B$6=0,$B$4+$B$5*12*6,$B$4*(1+$B$6/12)^(12*6)+$B$5*((1+$B$6/12)^(12*6)-1)/($B$6/12)),2),"")</f>
        <v/>
      </c>
      <c r="E16" s="15">
        <f>IF(6&lt;=$B$7,D16-D15-12*$B$5,"")</f>
        <v/>
      </c>
    </row>
    <row r="17">
      <c r="A17" s="12">
        <f>IF(7&lt;=$B$7,7,"")</f>
        <v/>
      </c>
      <c r="B17" s="13">
        <f>IF(7&lt;=$B$7,$B$4+$B$5*12*7,"")</f>
        <v/>
      </c>
      <c r="C17" s="13">
        <f>IF(7&lt;=$B$7,D17-B17,"")</f>
        <v/>
      </c>
      <c r="D17" s="13">
        <f>IF(7&lt;=$B$7,ROUND(IF($B$6=0,$B$4+$B$5*12*7,$B$4*(1+$B$6/12)^(12*7)+$B$5*((1+$B$6/12)^(12*7)-1)/($B$6/12)),2),"")</f>
        <v/>
      </c>
      <c r="E17" s="13">
        <f>IF(7&lt;=$B$7,D17-D16-12*$B$5,"")</f>
        <v/>
      </c>
    </row>
    <row r="18">
      <c r="A18" s="14">
        <f>IF(8&lt;=$B$7,8,"")</f>
        <v/>
      </c>
      <c r="B18" s="15">
        <f>IF(8&lt;=$B$7,$B$4+$B$5*12*8,"")</f>
        <v/>
      </c>
      <c r="C18" s="15">
        <f>IF(8&lt;=$B$7,D18-B18,"")</f>
        <v/>
      </c>
      <c r="D18" s="15">
        <f>IF(8&lt;=$B$7,ROUND(IF($B$6=0,$B$4+$B$5*12*8,$B$4*(1+$B$6/12)^(12*8)+$B$5*((1+$B$6/12)^(12*8)-1)/($B$6/12)),2),"")</f>
        <v/>
      </c>
      <c r="E18" s="15">
        <f>IF(8&lt;=$B$7,D18-D17-12*$B$5,"")</f>
        <v/>
      </c>
    </row>
    <row r="19">
      <c r="A19" s="12">
        <f>IF(9&lt;=$B$7,9,"")</f>
        <v/>
      </c>
      <c r="B19" s="13">
        <f>IF(9&lt;=$B$7,$B$4+$B$5*12*9,"")</f>
        <v/>
      </c>
      <c r="C19" s="13">
        <f>IF(9&lt;=$B$7,D19-B19,"")</f>
        <v/>
      </c>
      <c r="D19" s="13">
        <f>IF(9&lt;=$B$7,ROUND(IF($B$6=0,$B$4+$B$5*12*9,$B$4*(1+$B$6/12)^(12*9)+$B$5*((1+$B$6/12)^(12*9)-1)/($B$6/12)),2),"")</f>
        <v/>
      </c>
      <c r="E19" s="13">
        <f>IF(9&lt;=$B$7,D19-D18-12*$B$5,"")</f>
        <v/>
      </c>
    </row>
    <row r="20">
      <c r="A20" s="14">
        <f>IF(10&lt;=$B$7,10,"")</f>
        <v/>
      </c>
      <c r="B20" s="15">
        <f>IF(10&lt;=$B$7,$B$4+$B$5*12*10,"")</f>
        <v/>
      </c>
      <c r="C20" s="15">
        <f>IF(10&lt;=$B$7,D20-B20,"")</f>
        <v/>
      </c>
      <c r="D20" s="15">
        <f>IF(10&lt;=$B$7,ROUND(IF($B$6=0,$B$4+$B$5*12*10,$B$4*(1+$B$6/12)^(12*10)+$B$5*((1+$B$6/12)^(12*10)-1)/($B$6/12)),2),"")</f>
        <v/>
      </c>
      <c r="E20" s="15">
        <f>IF(10&lt;=$B$7,D20-D19-12*$B$5,"")</f>
        <v/>
      </c>
    </row>
    <row r="21">
      <c r="A21" s="12">
        <f>IF(11&lt;=$B$7,11,"")</f>
        <v/>
      </c>
      <c r="B21" s="13">
        <f>IF(11&lt;=$B$7,$B$4+$B$5*12*11,"")</f>
        <v/>
      </c>
      <c r="C21" s="13">
        <f>IF(11&lt;=$B$7,D21-B21,"")</f>
        <v/>
      </c>
      <c r="D21" s="13">
        <f>IF(11&lt;=$B$7,ROUND(IF($B$6=0,$B$4+$B$5*12*11,$B$4*(1+$B$6/12)^(12*11)+$B$5*((1+$B$6/12)^(12*11)-1)/($B$6/12)),2),"")</f>
        <v/>
      </c>
      <c r="E21" s="13">
        <f>IF(11&lt;=$B$7,D21-D20-12*$B$5,"")</f>
        <v/>
      </c>
    </row>
    <row r="22">
      <c r="A22" s="14">
        <f>IF(12&lt;=$B$7,12,"")</f>
        <v/>
      </c>
      <c r="B22" s="15">
        <f>IF(12&lt;=$B$7,$B$4+$B$5*12*12,"")</f>
        <v/>
      </c>
      <c r="C22" s="15">
        <f>IF(12&lt;=$B$7,D22-B22,"")</f>
        <v/>
      </c>
      <c r="D22" s="15">
        <f>IF(12&lt;=$B$7,ROUND(IF($B$6=0,$B$4+$B$5*12*12,$B$4*(1+$B$6/12)^(12*12)+$B$5*((1+$B$6/12)^(12*12)-1)/($B$6/12)),2),"")</f>
        <v/>
      </c>
      <c r="E22" s="15">
        <f>IF(12&lt;=$B$7,D22-D21-12*$B$5,"")</f>
        <v/>
      </c>
    </row>
    <row r="23">
      <c r="A23" s="12">
        <f>IF(13&lt;=$B$7,13,"")</f>
        <v/>
      </c>
      <c r="B23" s="13">
        <f>IF(13&lt;=$B$7,$B$4+$B$5*12*13,"")</f>
        <v/>
      </c>
      <c r="C23" s="13">
        <f>IF(13&lt;=$B$7,D23-B23,"")</f>
        <v/>
      </c>
      <c r="D23" s="13">
        <f>IF(13&lt;=$B$7,ROUND(IF($B$6=0,$B$4+$B$5*12*13,$B$4*(1+$B$6/12)^(12*13)+$B$5*((1+$B$6/12)^(12*13)-1)/($B$6/12)),2),"")</f>
        <v/>
      </c>
      <c r="E23" s="13">
        <f>IF(13&lt;=$B$7,D23-D22-12*$B$5,"")</f>
        <v/>
      </c>
    </row>
    <row r="24">
      <c r="A24" s="14">
        <f>IF(14&lt;=$B$7,14,"")</f>
        <v/>
      </c>
      <c r="B24" s="15">
        <f>IF(14&lt;=$B$7,$B$4+$B$5*12*14,"")</f>
        <v/>
      </c>
      <c r="C24" s="15">
        <f>IF(14&lt;=$B$7,D24-B24,"")</f>
        <v/>
      </c>
      <c r="D24" s="15">
        <f>IF(14&lt;=$B$7,ROUND(IF($B$6=0,$B$4+$B$5*12*14,$B$4*(1+$B$6/12)^(12*14)+$B$5*((1+$B$6/12)^(12*14)-1)/($B$6/12)),2),"")</f>
        <v/>
      </c>
      <c r="E24" s="15">
        <f>IF(14&lt;=$B$7,D24-D23-12*$B$5,"")</f>
        <v/>
      </c>
    </row>
    <row r="25">
      <c r="A25" s="12">
        <f>IF(15&lt;=$B$7,15,"")</f>
        <v/>
      </c>
      <c r="B25" s="13">
        <f>IF(15&lt;=$B$7,$B$4+$B$5*12*15,"")</f>
        <v/>
      </c>
      <c r="C25" s="13">
        <f>IF(15&lt;=$B$7,D25-B25,"")</f>
        <v/>
      </c>
      <c r="D25" s="13">
        <f>IF(15&lt;=$B$7,ROUND(IF($B$6=0,$B$4+$B$5*12*15,$B$4*(1+$B$6/12)^(12*15)+$B$5*((1+$B$6/12)^(12*15)-1)/($B$6/12)),2),"")</f>
        <v/>
      </c>
      <c r="E25" s="13">
        <f>IF(15&lt;=$B$7,D25-D24-12*$B$5,"")</f>
        <v/>
      </c>
    </row>
    <row r="26">
      <c r="A26" s="14">
        <f>IF(16&lt;=$B$7,16,"")</f>
        <v/>
      </c>
      <c r="B26" s="15">
        <f>IF(16&lt;=$B$7,$B$4+$B$5*12*16,"")</f>
        <v/>
      </c>
      <c r="C26" s="15">
        <f>IF(16&lt;=$B$7,D26-B26,"")</f>
        <v/>
      </c>
      <c r="D26" s="15">
        <f>IF(16&lt;=$B$7,ROUND(IF($B$6=0,$B$4+$B$5*12*16,$B$4*(1+$B$6/12)^(12*16)+$B$5*((1+$B$6/12)^(12*16)-1)/($B$6/12)),2),"")</f>
        <v/>
      </c>
      <c r="E26" s="15">
        <f>IF(16&lt;=$B$7,D26-D25-12*$B$5,"")</f>
        <v/>
      </c>
    </row>
    <row r="27">
      <c r="A27" s="12">
        <f>IF(17&lt;=$B$7,17,"")</f>
        <v/>
      </c>
      <c r="B27" s="13">
        <f>IF(17&lt;=$B$7,$B$4+$B$5*12*17,"")</f>
        <v/>
      </c>
      <c r="C27" s="13">
        <f>IF(17&lt;=$B$7,D27-B27,"")</f>
        <v/>
      </c>
      <c r="D27" s="13">
        <f>IF(17&lt;=$B$7,ROUND(IF($B$6=0,$B$4+$B$5*12*17,$B$4*(1+$B$6/12)^(12*17)+$B$5*((1+$B$6/12)^(12*17)-1)/($B$6/12)),2),"")</f>
        <v/>
      </c>
      <c r="E27" s="13">
        <f>IF(17&lt;=$B$7,D27-D26-12*$B$5,"")</f>
        <v/>
      </c>
    </row>
    <row r="28">
      <c r="A28" s="14">
        <f>IF(18&lt;=$B$7,18,"")</f>
        <v/>
      </c>
      <c r="B28" s="15">
        <f>IF(18&lt;=$B$7,$B$4+$B$5*12*18,"")</f>
        <v/>
      </c>
      <c r="C28" s="15">
        <f>IF(18&lt;=$B$7,D28-B28,"")</f>
        <v/>
      </c>
      <c r="D28" s="15">
        <f>IF(18&lt;=$B$7,ROUND(IF($B$6=0,$B$4+$B$5*12*18,$B$4*(1+$B$6/12)^(12*18)+$B$5*((1+$B$6/12)^(12*18)-1)/($B$6/12)),2),"")</f>
        <v/>
      </c>
      <c r="E28" s="15">
        <f>IF(18&lt;=$B$7,D28-D27-12*$B$5,"")</f>
        <v/>
      </c>
    </row>
    <row r="29">
      <c r="A29" s="12">
        <f>IF(19&lt;=$B$7,19,"")</f>
        <v/>
      </c>
      <c r="B29" s="13">
        <f>IF(19&lt;=$B$7,$B$4+$B$5*12*19,"")</f>
        <v/>
      </c>
      <c r="C29" s="13">
        <f>IF(19&lt;=$B$7,D29-B29,"")</f>
        <v/>
      </c>
      <c r="D29" s="13">
        <f>IF(19&lt;=$B$7,ROUND(IF($B$6=0,$B$4+$B$5*12*19,$B$4*(1+$B$6/12)^(12*19)+$B$5*((1+$B$6/12)^(12*19)-1)/($B$6/12)),2),"")</f>
        <v/>
      </c>
      <c r="E29" s="13">
        <f>IF(19&lt;=$B$7,D29-D28-12*$B$5,"")</f>
        <v/>
      </c>
    </row>
    <row r="30">
      <c r="A30" s="14">
        <f>IF(20&lt;=$B$7,20,"")</f>
        <v/>
      </c>
      <c r="B30" s="15">
        <f>IF(20&lt;=$B$7,$B$4+$B$5*12*20,"")</f>
        <v/>
      </c>
      <c r="C30" s="15">
        <f>IF(20&lt;=$B$7,D30-B30,"")</f>
        <v/>
      </c>
      <c r="D30" s="15">
        <f>IF(20&lt;=$B$7,ROUND(IF($B$6=0,$B$4+$B$5*12*20,$B$4*(1+$B$6/12)^(12*20)+$B$5*((1+$B$6/12)^(12*20)-1)/($B$6/12)),2),"")</f>
        <v/>
      </c>
      <c r="E30" s="15">
        <f>IF(20&lt;=$B$7,D30-D29-12*$B$5,"")</f>
        <v/>
      </c>
    </row>
    <row r="31">
      <c r="A31" s="12">
        <f>IF(21&lt;=$B$7,21,"")</f>
        <v/>
      </c>
      <c r="B31" s="13">
        <f>IF(21&lt;=$B$7,$B$4+$B$5*12*21,"")</f>
        <v/>
      </c>
      <c r="C31" s="13">
        <f>IF(21&lt;=$B$7,D31-B31,"")</f>
        <v/>
      </c>
      <c r="D31" s="13">
        <f>IF(21&lt;=$B$7,ROUND(IF($B$6=0,$B$4+$B$5*12*21,$B$4*(1+$B$6/12)^(12*21)+$B$5*((1+$B$6/12)^(12*21)-1)/($B$6/12)),2),"")</f>
        <v/>
      </c>
      <c r="E31" s="13">
        <f>IF(21&lt;=$B$7,D31-D30-12*$B$5,"")</f>
        <v/>
      </c>
    </row>
    <row r="32">
      <c r="A32" s="14">
        <f>IF(22&lt;=$B$7,22,"")</f>
        <v/>
      </c>
      <c r="B32" s="15">
        <f>IF(22&lt;=$B$7,$B$4+$B$5*12*22,"")</f>
        <v/>
      </c>
      <c r="C32" s="15">
        <f>IF(22&lt;=$B$7,D32-B32,"")</f>
        <v/>
      </c>
      <c r="D32" s="15">
        <f>IF(22&lt;=$B$7,ROUND(IF($B$6=0,$B$4+$B$5*12*22,$B$4*(1+$B$6/12)^(12*22)+$B$5*((1+$B$6/12)^(12*22)-1)/($B$6/12)),2),"")</f>
        <v/>
      </c>
      <c r="E32" s="15">
        <f>IF(22&lt;=$B$7,D32-D31-12*$B$5,"")</f>
        <v/>
      </c>
    </row>
    <row r="33">
      <c r="A33" s="12">
        <f>IF(23&lt;=$B$7,23,"")</f>
        <v/>
      </c>
      <c r="B33" s="13">
        <f>IF(23&lt;=$B$7,$B$4+$B$5*12*23,"")</f>
        <v/>
      </c>
      <c r="C33" s="13">
        <f>IF(23&lt;=$B$7,D33-B33,"")</f>
        <v/>
      </c>
      <c r="D33" s="13">
        <f>IF(23&lt;=$B$7,ROUND(IF($B$6=0,$B$4+$B$5*12*23,$B$4*(1+$B$6/12)^(12*23)+$B$5*((1+$B$6/12)^(12*23)-1)/($B$6/12)),2),"")</f>
        <v/>
      </c>
      <c r="E33" s="13">
        <f>IF(23&lt;=$B$7,D33-D32-12*$B$5,"")</f>
        <v/>
      </c>
    </row>
    <row r="34">
      <c r="A34" s="14">
        <f>IF(24&lt;=$B$7,24,"")</f>
        <v/>
      </c>
      <c r="B34" s="15">
        <f>IF(24&lt;=$B$7,$B$4+$B$5*12*24,"")</f>
        <v/>
      </c>
      <c r="C34" s="15">
        <f>IF(24&lt;=$B$7,D34-B34,"")</f>
        <v/>
      </c>
      <c r="D34" s="15">
        <f>IF(24&lt;=$B$7,ROUND(IF($B$6=0,$B$4+$B$5*12*24,$B$4*(1+$B$6/12)^(12*24)+$B$5*((1+$B$6/12)^(12*24)-1)/($B$6/12)),2),"")</f>
        <v/>
      </c>
      <c r="E34" s="15">
        <f>IF(24&lt;=$B$7,D34-D33-12*$B$5,"")</f>
        <v/>
      </c>
    </row>
    <row r="35">
      <c r="A35" s="12">
        <f>IF(25&lt;=$B$7,25,"")</f>
        <v/>
      </c>
      <c r="B35" s="13">
        <f>IF(25&lt;=$B$7,$B$4+$B$5*12*25,"")</f>
        <v/>
      </c>
      <c r="C35" s="13">
        <f>IF(25&lt;=$B$7,D35-B35,"")</f>
        <v/>
      </c>
      <c r="D35" s="13">
        <f>IF(25&lt;=$B$7,ROUND(IF($B$6=0,$B$4+$B$5*12*25,$B$4*(1+$B$6/12)^(12*25)+$B$5*((1+$B$6/12)^(12*25)-1)/($B$6/12)),2),"")</f>
        <v/>
      </c>
      <c r="E35" s="13">
        <f>IF(25&lt;=$B$7,D35-D34-12*$B$5,"")</f>
        <v/>
      </c>
    </row>
    <row r="36">
      <c r="A36" s="14">
        <f>IF(26&lt;=$B$7,26,"")</f>
        <v/>
      </c>
      <c r="B36" s="15">
        <f>IF(26&lt;=$B$7,$B$4+$B$5*12*26,"")</f>
        <v/>
      </c>
      <c r="C36" s="15">
        <f>IF(26&lt;=$B$7,D36-B36,"")</f>
        <v/>
      </c>
      <c r="D36" s="15">
        <f>IF(26&lt;=$B$7,ROUND(IF($B$6=0,$B$4+$B$5*12*26,$B$4*(1+$B$6/12)^(12*26)+$B$5*((1+$B$6/12)^(12*26)-1)/($B$6/12)),2),"")</f>
        <v/>
      </c>
      <c r="E36" s="15">
        <f>IF(26&lt;=$B$7,D36-D35-12*$B$5,"")</f>
        <v/>
      </c>
    </row>
    <row r="37">
      <c r="A37" s="12">
        <f>IF(27&lt;=$B$7,27,"")</f>
        <v/>
      </c>
      <c r="B37" s="13">
        <f>IF(27&lt;=$B$7,$B$4+$B$5*12*27,"")</f>
        <v/>
      </c>
      <c r="C37" s="13">
        <f>IF(27&lt;=$B$7,D37-B37,"")</f>
        <v/>
      </c>
      <c r="D37" s="13">
        <f>IF(27&lt;=$B$7,ROUND(IF($B$6=0,$B$4+$B$5*12*27,$B$4*(1+$B$6/12)^(12*27)+$B$5*((1+$B$6/12)^(12*27)-1)/($B$6/12)),2),"")</f>
        <v/>
      </c>
      <c r="E37" s="13">
        <f>IF(27&lt;=$B$7,D37-D36-12*$B$5,"")</f>
        <v/>
      </c>
    </row>
    <row r="38">
      <c r="A38" s="14">
        <f>IF(28&lt;=$B$7,28,"")</f>
        <v/>
      </c>
      <c r="B38" s="15">
        <f>IF(28&lt;=$B$7,$B$4+$B$5*12*28,"")</f>
        <v/>
      </c>
      <c r="C38" s="15">
        <f>IF(28&lt;=$B$7,D38-B38,"")</f>
        <v/>
      </c>
      <c r="D38" s="15">
        <f>IF(28&lt;=$B$7,ROUND(IF($B$6=0,$B$4+$B$5*12*28,$B$4*(1+$B$6/12)^(12*28)+$B$5*((1+$B$6/12)^(12*28)-1)/($B$6/12)),2),"")</f>
        <v/>
      </c>
      <c r="E38" s="15">
        <f>IF(28&lt;=$B$7,D38-D37-12*$B$5,"")</f>
        <v/>
      </c>
    </row>
    <row r="39">
      <c r="A39" s="12">
        <f>IF(29&lt;=$B$7,29,"")</f>
        <v/>
      </c>
      <c r="B39" s="13">
        <f>IF(29&lt;=$B$7,$B$4+$B$5*12*29,"")</f>
        <v/>
      </c>
      <c r="C39" s="13">
        <f>IF(29&lt;=$B$7,D39-B39,"")</f>
        <v/>
      </c>
      <c r="D39" s="13">
        <f>IF(29&lt;=$B$7,ROUND(IF($B$6=0,$B$4+$B$5*12*29,$B$4*(1+$B$6/12)^(12*29)+$B$5*((1+$B$6/12)^(12*29)-1)/($B$6/12)),2),"")</f>
        <v/>
      </c>
      <c r="E39" s="13">
        <f>IF(29&lt;=$B$7,D39-D38-12*$B$5,"")</f>
        <v/>
      </c>
    </row>
    <row r="40">
      <c r="A40" s="14">
        <f>IF(30&lt;=$B$7,30,"")</f>
        <v/>
      </c>
      <c r="B40" s="15">
        <f>IF(30&lt;=$B$7,$B$4+$B$5*12*30,"")</f>
        <v/>
      </c>
      <c r="C40" s="15">
        <f>IF(30&lt;=$B$7,D40-B40,"")</f>
        <v/>
      </c>
      <c r="D40" s="15">
        <f>IF(30&lt;=$B$7,ROUND(IF($B$6=0,$B$4+$B$5*12*30,$B$4*(1+$B$6/12)^(12*30)+$B$5*((1+$B$6/12)^(12*30)-1)/($B$6/12)),2),"")</f>
        <v/>
      </c>
      <c r="E40" s="15">
        <f>IF(30&lt;=$B$7,D40-D39-12*$B$5,"")</f>
        <v/>
      </c>
    </row>
    <row r="41">
      <c r="A41" s="12">
        <f>IF(31&lt;=$B$7,31,"")</f>
        <v/>
      </c>
      <c r="B41" s="13">
        <f>IF(31&lt;=$B$7,$B$4+$B$5*12*31,"")</f>
        <v/>
      </c>
      <c r="C41" s="13">
        <f>IF(31&lt;=$B$7,D41-B41,"")</f>
        <v/>
      </c>
      <c r="D41" s="13">
        <f>IF(31&lt;=$B$7,ROUND(IF($B$6=0,$B$4+$B$5*12*31,$B$4*(1+$B$6/12)^(12*31)+$B$5*((1+$B$6/12)^(12*31)-1)/($B$6/12)),2),"")</f>
        <v/>
      </c>
      <c r="E41" s="13">
        <f>IF(31&lt;=$B$7,D41-D40-12*$B$5,"")</f>
        <v/>
      </c>
    </row>
    <row r="42">
      <c r="A42" s="14">
        <f>IF(32&lt;=$B$7,32,"")</f>
        <v/>
      </c>
      <c r="B42" s="15">
        <f>IF(32&lt;=$B$7,$B$4+$B$5*12*32,"")</f>
        <v/>
      </c>
      <c r="C42" s="15">
        <f>IF(32&lt;=$B$7,D42-B42,"")</f>
        <v/>
      </c>
      <c r="D42" s="15">
        <f>IF(32&lt;=$B$7,ROUND(IF($B$6=0,$B$4+$B$5*12*32,$B$4*(1+$B$6/12)^(12*32)+$B$5*((1+$B$6/12)^(12*32)-1)/($B$6/12)),2),"")</f>
        <v/>
      </c>
      <c r="E42" s="15">
        <f>IF(32&lt;=$B$7,D42-D41-12*$B$5,"")</f>
        <v/>
      </c>
    </row>
    <row r="43">
      <c r="A43" s="12">
        <f>IF(33&lt;=$B$7,33,"")</f>
        <v/>
      </c>
      <c r="B43" s="13">
        <f>IF(33&lt;=$B$7,$B$4+$B$5*12*33,"")</f>
        <v/>
      </c>
      <c r="C43" s="13">
        <f>IF(33&lt;=$B$7,D43-B43,"")</f>
        <v/>
      </c>
      <c r="D43" s="13">
        <f>IF(33&lt;=$B$7,ROUND(IF($B$6=0,$B$4+$B$5*12*33,$B$4*(1+$B$6/12)^(12*33)+$B$5*((1+$B$6/12)^(12*33)-1)/($B$6/12)),2),"")</f>
        <v/>
      </c>
      <c r="E43" s="13">
        <f>IF(33&lt;=$B$7,D43-D42-12*$B$5,"")</f>
        <v/>
      </c>
    </row>
    <row r="44">
      <c r="A44" s="14">
        <f>IF(34&lt;=$B$7,34,"")</f>
        <v/>
      </c>
      <c r="B44" s="15">
        <f>IF(34&lt;=$B$7,$B$4+$B$5*12*34,"")</f>
        <v/>
      </c>
      <c r="C44" s="15">
        <f>IF(34&lt;=$B$7,D44-B44,"")</f>
        <v/>
      </c>
      <c r="D44" s="15">
        <f>IF(34&lt;=$B$7,ROUND(IF($B$6=0,$B$4+$B$5*12*34,$B$4*(1+$B$6/12)^(12*34)+$B$5*((1+$B$6/12)^(12*34)-1)/($B$6/12)),2),"")</f>
        <v/>
      </c>
      <c r="E44" s="15">
        <f>IF(34&lt;=$B$7,D44-D43-12*$B$5,"")</f>
        <v/>
      </c>
    </row>
    <row r="45">
      <c r="A45" s="12">
        <f>IF(35&lt;=$B$7,35,"")</f>
        <v/>
      </c>
      <c r="B45" s="13">
        <f>IF(35&lt;=$B$7,$B$4+$B$5*12*35,"")</f>
        <v/>
      </c>
      <c r="C45" s="13">
        <f>IF(35&lt;=$B$7,D45-B45,"")</f>
        <v/>
      </c>
      <c r="D45" s="13">
        <f>IF(35&lt;=$B$7,ROUND(IF($B$6=0,$B$4+$B$5*12*35,$B$4*(1+$B$6/12)^(12*35)+$B$5*((1+$B$6/12)^(12*35)-1)/($B$6/12)),2),"")</f>
        <v/>
      </c>
      <c r="E45" s="13">
        <f>IF(35&lt;=$B$7,D45-D44-12*$B$5,"")</f>
        <v/>
      </c>
    </row>
    <row r="46">
      <c r="A46" s="14">
        <f>IF(36&lt;=$B$7,36,"")</f>
        <v/>
      </c>
      <c r="B46" s="15">
        <f>IF(36&lt;=$B$7,$B$4+$B$5*12*36,"")</f>
        <v/>
      </c>
      <c r="C46" s="15">
        <f>IF(36&lt;=$B$7,D46-B46,"")</f>
        <v/>
      </c>
      <c r="D46" s="15">
        <f>IF(36&lt;=$B$7,ROUND(IF($B$6=0,$B$4+$B$5*12*36,$B$4*(1+$B$6/12)^(12*36)+$B$5*((1+$B$6/12)^(12*36)-1)/($B$6/12)),2),"")</f>
        <v/>
      </c>
      <c r="E46" s="15">
        <f>IF(36&lt;=$B$7,D46-D45-12*$B$5,"")</f>
        <v/>
      </c>
    </row>
    <row r="47">
      <c r="A47" s="12">
        <f>IF(37&lt;=$B$7,37,"")</f>
        <v/>
      </c>
      <c r="B47" s="13">
        <f>IF(37&lt;=$B$7,$B$4+$B$5*12*37,"")</f>
        <v/>
      </c>
      <c r="C47" s="13">
        <f>IF(37&lt;=$B$7,D47-B47,"")</f>
        <v/>
      </c>
      <c r="D47" s="13">
        <f>IF(37&lt;=$B$7,ROUND(IF($B$6=0,$B$4+$B$5*12*37,$B$4*(1+$B$6/12)^(12*37)+$B$5*((1+$B$6/12)^(12*37)-1)/($B$6/12)),2),"")</f>
        <v/>
      </c>
      <c r="E47" s="13">
        <f>IF(37&lt;=$B$7,D47-D46-12*$B$5,"")</f>
        <v/>
      </c>
    </row>
    <row r="48">
      <c r="A48" s="14">
        <f>IF(38&lt;=$B$7,38,"")</f>
        <v/>
      </c>
      <c r="B48" s="15">
        <f>IF(38&lt;=$B$7,$B$4+$B$5*12*38,"")</f>
        <v/>
      </c>
      <c r="C48" s="15">
        <f>IF(38&lt;=$B$7,D48-B48,"")</f>
        <v/>
      </c>
      <c r="D48" s="15">
        <f>IF(38&lt;=$B$7,ROUND(IF($B$6=0,$B$4+$B$5*12*38,$B$4*(1+$B$6/12)^(12*38)+$B$5*((1+$B$6/12)^(12*38)-1)/($B$6/12)),2),"")</f>
        <v/>
      </c>
      <c r="E48" s="15">
        <f>IF(38&lt;=$B$7,D48-D47-12*$B$5,"")</f>
        <v/>
      </c>
    </row>
    <row r="49">
      <c r="A49" s="12">
        <f>IF(39&lt;=$B$7,39,"")</f>
        <v/>
      </c>
      <c r="B49" s="13">
        <f>IF(39&lt;=$B$7,$B$4+$B$5*12*39,"")</f>
        <v/>
      </c>
      <c r="C49" s="13">
        <f>IF(39&lt;=$B$7,D49-B49,"")</f>
        <v/>
      </c>
      <c r="D49" s="13">
        <f>IF(39&lt;=$B$7,ROUND(IF($B$6=0,$B$4+$B$5*12*39,$B$4*(1+$B$6/12)^(12*39)+$B$5*((1+$B$6/12)^(12*39)-1)/($B$6/12)),2),"")</f>
        <v/>
      </c>
      <c r="E49" s="13">
        <f>IF(39&lt;=$B$7,D49-D48-12*$B$5,"")</f>
        <v/>
      </c>
    </row>
    <row r="50">
      <c r="A50" s="14">
        <f>IF(40&lt;=$B$7,40,"")</f>
        <v/>
      </c>
      <c r="B50" s="15">
        <f>IF(40&lt;=$B$7,$B$4+$B$5*12*40,"")</f>
        <v/>
      </c>
      <c r="C50" s="15">
        <f>IF(40&lt;=$B$7,D50-B50,"")</f>
        <v/>
      </c>
      <c r="D50" s="15">
        <f>IF(40&lt;=$B$7,ROUND(IF($B$6=0,$B$4+$B$5*12*40,$B$4*(1+$B$6/12)^(12*40)+$B$5*((1+$B$6/12)^(12*40)-1)/($B$6/12)),2),"")</f>
        <v/>
      </c>
      <c r="E50" s="15">
        <f>IF(40&lt;=$B$7,D50-D49-12*$B$5,"")</f>
        <v/>
      </c>
    </row>
    <row r="52">
      <c r="A52" s="10" t="inlineStr">
        <is>
          <t>Plantilla gratuita de plantillasdeexcel.es</t>
        </is>
      </c>
    </row>
  </sheetData>
  <dataValidations count="1">
    <dataValidation sqref="B7" showDropDown="0" showInputMessage="0" showErrorMessage="0" allowBlank="0" error="Escribe un número entero de años entre 1 y 40." type="whole" operator="between">
      <formula1>1</formula1>
      <formula2>40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Calculadora de interés compuesto</dc:title>
  <dcterms:created xmlns:dcterms="http://purl.org/dc/terms/" xmlns:xsi="http://www.w3.org/2001/XMLSchema-instance" xsi:type="dcterms:W3CDTF">2026-10-23T13:17:55Z</dcterms:created>
  <dcterms:modified xmlns:dcterms="http://purl.org/dc/terms/" xmlns:xsi="http://www.w3.org/2001/XMLSchema-instance" xsi:type="dcterms:W3CDTF">2026-10-23T13:17:55Z</dcterms:modified>
</cp:coreProperties>
</file>