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164" fontId="5" fillId="3" borderId="1" pivotButton="0" quotePrefix="0" xfId="0"/>
    <xf numFmtId="10" fontId="0" fillId="2" borderId="1" pivotButton="0" quotePrefix="0" xfId="0"/>
    <xf numFmtId="3" fontId="5" fillId="3" borderId="1" pivotButton="0" quotePrefix="0" xfId="0"/>
    <xf numFmtId="3" fontId="0" fillId="2" borderId="1" pivotButton="0" quotePrefix="0" xfId="0"/>
    <xf numFmtId="166" fontId="0" fillId="2" borderId="1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0" fontId="0" fillId="5" borderId="1" pivotButton="0" quotePrefix="0" xfId="0"/>
    <xf numFmtId="166" fontId="0" fillId="5" borderId="1" pivotButton="0" quotePrefix="0" xfId="0"/>
    <xf numFmtId="164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 ht="26" customHeight="1">
      <c r="A1" s="1" t="inlineStr">
        <is>
          <t>Cuadro de amortización de préstamo</t>
        </is>
      </c>
    </row>
    <row r="2">
      <c r="A2" s="2" t="inlineStr">
        <is>
          <t>Sistema francés: cuota constante · cambia las celdas amarillas</t>
        </is>
      </c>
    </row>
    <row r="4">
      <c r="A4" s="3" t="inlineStr">
        <is>
          <t>Capital prestado</t>
        </is>
      </c>
      <c r="C4" s="4" t="n">
        <v>150000</v>
      </c>
      <c r="E4" s="5" t="inlineStr">
        <is>
          <t>Cuota mensual</t>
        </is>
      </c>
      <c r="F4" s="6">
        <f>ROUND(C4*(C5/12)/(1-(1+C5/12)^(-C6*12)),2)</f>
        <v/>
      </c>
    </row>
    <row r="5">
      <c r="A5" s="3" t="inlineStr">
        <is>
          <t>Interés nominal anual (TIN)</t>
        </is>
      </c>
      <c r="C5" s="7" t="n">
        <v>0.03</v>
      </c>
      <c r="E5" s="5" t="inlineStr">
        <is>
          <t>Número de cuotas</t>
        </is>
      </c>
      <c r="F5" s="8">
        <f>C6*12</f>
        <v/>
      </c>
    </row>
    <row r="6">
      <c r="A6" s="3" t="inlineStr">
        <is>
          <t>Plazo (años)</t>
        </is>
      </c>
      <c r="C6" s="9" t="n">
        <v>25</v>
      </c>
      <c r="E6" s="5" t="inlineStr">
        <is>
          <t>Total intereses</t>
        </is>
      </c>
      <c r="F6" s="6">
        <f>F4*F5-C4</f>
        <v/>
      </c>
    </row>
    <row r="7">
      <c r="A7" s="3" t="inlineStr">
        <is>
          <t>Primera cuota</t>
        </is>
      </c>
      <c r="C7" s="10" t="n">
        <v>46327</v>
      </c>
      <c r="E7" s="5" t="inlineStr">
        <is>
          <t>Total a pagar</t>
        </is>
      </c>
      <c r="F7" s="6">
        <f>F4*F5</f>
        <v/>
      </c>
    </row>
    <row r="8">
      <c r="A8" s="11" t="inlineStr">
        <is>
          <t>Las filas de más se quedan vacías: el cuadro se ajusta al plazo que pongas (máximo 30 años).</t>
        </is>
      </c>
    </row>
    <row r="9" ht="22" customHeight="1">
      <c r="A9" s="12" t="inlineStr">
        <is>
          <t>Cuota</t>
        </is>
      </c>
      <c r="B9" s="12" t="inlineStr">
        <is>
          <t>Fecha</t>
        </is>
      </c>
      <c r="C9" s="12" t="inlineStr">
        <is>
          <t>Cuota</t>
        </is>
      </c>
      <c r="D9" s="12" t="inlineStr">
        <is>
          <t>Intereses</t>
        </is>
      </c>
      <c r="E9" s="12" t="inlineStr">
        <is>
          <t>Capital</t>
        </is>
      </c>
      <c r="F9" s="12" t="inlineStr">
        <is>
          <t>Pendiente</t>
        </is>
      </c>
    </row>
    <row r="10">
      <c r="A10" s="13">
        <f>IF(1&lt;=$F$5,1,"")</f>
        <v/>
      </c>
      <c r="B10" s="14">
        <f>IF(1&lt;=$F$5,DATE(YEAR($C$7),MONTH($C$7)+0,DAY($C$7)),"")</f>
        <v/>
      </c>
      <c r="C10" s="15">
        <f>IF(1&lt;=$F$5,$F$4,"")</f>
        <v/>
      </c>
      <c r="D10" s="15">
        <f>IF(1&lt;=$F$5,ROUND($C$4*$C$5/12,2),"")</f>
        <v/>
      </c>
      <c r="E10" s="15">
        <f>IF(1&lt;=$F$5,C10-D10,"")</f>
        <v/>
      </c>
      <c r="F10" s="15">
        <f>IF(1&lt;=$F$5,IF(1=$F$5,0,$C$4-E10),"")</f>
        <v/>
      </c>
    </row>
    <row r="11">
      <c r="A11" s="16">
        <f>IF(2&lt;=$F$5,2,"")</f>
        <v/>
      </c>
      <c r="B11" s="17">
        <f>IF(2&lt;=$F$5,DATE(YEAR($C$7),MONTH($C$7)+1,DAY($C$7)),"")</f>
        <v/>
      </c>
      <c r="C11" s="18">
        <f>IF(2&lt;=$F$5,$F$4,"")</f>
        <v/>
      </c>
      <c r="D11" s="18">
        <f>IF(2&lt;=$F$5,ROUND(F10*$C$5/12,2),"")</f>
        <v/>
      </c>
      <c r="E11" s="18">
        <f>IF(2&lt;=$F$5,C11-D11,"")</f>
        <v/>
      </c>
      <c r="F11" s="18">
        <f>IF(2&lt;=$F$5,IF(2=$F$5,0,F10-E11),"")</f>
        <v/>
      </c>
    </row>
    <row r="12">
      <c r="A12" s="13">
        <f>IF(3&lt;=$F$5,3,"")</f>
        <v/>
      </c>
      <c r="B12" s="14">
        <f>IF(3&lt;=$F$5,DATE(YEAR($C$7),MONTH($C$7)+2,DAY($C$7)),"")</f>
        <v/>
      </c>
      <c r="C12" s="15">
        <f>IF(3&lt;=$F$5,$F$4,"")</f>
        <v/>
      </c>
      <c r="D12" s="15">
        <f>IF(3&lt;=$F$5,ROUND(F11*$C$5/12,2),"")</f>
        <v/>
      </c>
      <c r="E12" s="15">
        <f>IF(3&lt;=$F$5,C12-D12,"")</f>
        <v/>
      </c>
      <c r="F12" s="15">
        <f>IF(3&lt;=$F$5,IF(3=$F$5,0,F11-E12),"")</f>
        <v/>
      </c>
    </row>
    <row r="13">
      <c r="A13" s="16">
        <f>IF(4&lt;=$F$5,4,"")</f>
        <v/>
      </c>
      <c r="B13" s="17">
        <f>IF(4&lt;=$F$5,DATE(YEAR($C$7),MONTH($C$7)+3,DAY($C$7)),"")</f>
        <v/>
      </c>
      <c r="C13" s="18">
        <f>IF(4&lt;=$F$5,$F$4,"")</f>
        <v/>
      </c>
      <c r="D13" s="18">
        <f>IF(4&lt;=$F$5,ROUND(F12*$C$5/12,2),"")</f>
        <v/>
      </c>
      <c r="E13" s="18">
        <f>IF(4&lt;=$F$5,C13-D13,"")</f>
        <v/>
      </c>
      <c r="F13" s="18">
        <f>IF(4&lt;=$F$5,IF(4=$F$5,0,F12-E13),"")</f>
        <v/>
      </c>
    </row>
    <row r="14">
      <c r="A14" s="13">
        <f>IF(5&lt;=$F$5,5,"")</f>
        <v/>
      </c>
      <c r="B14" s="14">
        <f>IF(5&lt;=$F$5,DATE(YEAR($C$7),MONTH($C$7)+4,DAY($C$7)),"")</f>
        <v/>
      </c>
      <c r="C14" s="15">
        <f>IF(5&lt;=$F$5,$F$4,"")</f>
        <v/>
      </c>
      <c r="D14" s="15">
        <f>IF(5&lt;=$F$5,ROUND(F13*$C$5/12,2),"")</f>
        <v/>
      </c>
      <c r="E14" s="15">
        <f>IF(5&lt;=$F$5,C14-D14,"")</f>
        <v/>
      </c>
      <c r="F14" s="15">
        <f>IF(5&lt;=$F$5,IF(5=$F$5,0,F13-E14),"")</f>
        <v/>
      </c>
    </row>
    <row r="15">
      <c r="A15" s="16">
        <f>IF(6&lt;=$F$5,6,"")</f>
        <v/>
      </c>
      <c r="B15" s="17">
        <f>IF(6&lt;=$F$5,DATE(YEAR($C$7),MONTH($C$7)+5,DAY($C$7)),"")</f>
        <v/>
      </c>
      <c r="C15" s="18">
        <f>IF(6&lt;=$F$5,$F$4,"")</f>
        <v/>
      </c>
      <c r="D15" s="18">
        <f>IF(6&lt;=$F$5,ROUND(F14*$C$5/12,2),"")</f>
        <v/>
      </c>
      <c r="E15" s="18">
        <f>IF(6&lt;=$F$5,C15-D15,"")</f>
        <v/>
      </c>
      <c r="F15" s="18">
        <f>IF(6&lt;=$F$5,IF(6=$F$5,0,F14-E15),"")</f>
        <v/>
      </c>
    </row>
    <row r="16">
      <c r="A16" s="13">
        <f>IF(7&lt;=$F$5,7,"")</f>
        <v/>
      </c>
      <c r="B16" s="14">
        <f>IF(7&lt;=$F$5,DATE(YEAR($C$7),MONTH($C$7)+6,DAY($C$7)),"")</f>
        <v/>
      </c>
      <c r="C16" s="15">
        <f>IF(7&lt;=$F$5,$F$4,"")</f>
        <v/>
      </c>
      <c r="D16" s="15">
        <f>IF(7&lt;=$F$5,ROUND(F15*$C$5/12,2),"")</f>
        <v/>
      </c>
      <c r="E16" s="15">
        <f>IF(7&lt;=$F$5,C16-D16,"")</f>
        <v/>
      </c>
      <c r="F16" s="15">
        <f>IF(7&lt;=$F$5,IF(7=$F$5,0,F15-E16),"")</f>
        <v/>
      </c>
    </row>
    <row r="17">
      <c r="A17" s="16">
        <f>IF(8&lt;=$F$5,8,"")</f>
        <v/>
      </c>
      <c r="B17" s="17">
        <f>IF(8&lt;=$F$5,DATE(YEAR($C$7),MONTH($C$7)+7,DAY($C$7)),"")</f>
        <v/>
      </c>
      <c r="C17" s="18">
        <f>IF(8&lt;=$F$5,$F$4,"")</f>
        <v/>
      </c>
      <c r="D17" s="18">
        <f>IF(8&lt;=$F$5,ROUND(F16*$C$5/12,2),"")</f>
        <v/>
      </c>
      <c r="E17" s="18">
        <f>IF(8&lt;=$F$5,C17-D17,"")</f>
        <v/>
      </c>
      <c r="F17" s="18">
        <f>IF(8&lt;=$F$5,IF(8=$F$5,0,F16-E17),"")</f>
        <v/>
      </c>
    </row>
    <row r="18">
      <c r="A18" s="13">
        <f>IF(9&lt;=$F$5,9,"")</f>
        <v/>
      </c>
      <c r="B18" s="14">
        <f>IF(9&lt;=$F$5,DATE(YEAR($C$7),MONTH($C$7)+8,DAY($C$7)),"")</f>
        <v/>
      </c>
      <c r="C18" s="15">
        <f>IF(9&lt;=$F$5,$F$4,"")</f>
        <v/>
      </c>
      <c r="D18" s="15">
        <f>IF(9&lt;=$F$5,ROUND(F17*$C$5/12,2),"")</f>
        <v/>
      </c>
      <c r="E18" s="15">
        <f>IF(9&lt;=$F$5,C18-D18,"")</f>
        <v/>
      </c>
      <c r="F18" s="15">
        <f>IF(9&lt;=$F$5,IF(9=$F$5,0,F17-E18),"")</f>
        <v/>
      </c>
    </row>
    <row r="19">
      <c r="A19" s="16">
        <f>IF(10&lt;=$F$5,10,"")</f>
        <v/>
      </c>
      <c r="B19" s="17">
        <f>IF(10&lt;=$F$5,DATE(YEAR($C$7),MONTH($C$7)+9,DAY($C$7)),"")</f>
        <v/>
      </c>
      <c r="C19" s="18">
        <f>IF(10&lt;=$F$5,$F$4,"")</f>
        <v/>
      </c>
      <c r="D19" s="18">
        <f>IF(10&lt;=$F$5,ROUND(F18*$C$5/12,2),"")</f>
        <v/>
      </c>
      <c r="E19" s="18">
        <f>IF(10&lt;=$F$5,C19-D19,"")</f>
        <v/>
      </c>
      <c r="F19" s="18">
        <f>IF(10&lt;=$F$5,IF(10=$F$5,0,F18-E19),"")</f>
        <v/>
      </c>
    </row>
    <row r="20">
      <c r="A20" s="13">
        <f>IF(11&lt;=$F$5,11,"")</f>
        <v/>
      </c>
      <c r="B20" s="14">
        <f>IF(11&lt;=$F$5,DATE(YEAR($C$7),MONTH($C$7)+10,DAY($C$7)),"")</f>
        <v/>
      </c>
      <c r="C20" s="15">
        <f>IF(11&lt;=$F$5,$F$4,"")</f>
        <v/>
      </c>
      <c r="D20" s="15">
        <f>IF(11&lt;=$F$5,ROUND(F19*$C$5/12,2),"")</f>
        <v/>
      </c>
      <c r="E20" s="15">
        <f>IF(11&lt;=$F$5,C20-D20,"")</f>
        <v/>
      </c>
      <c r="F20" s="15">
        <f>IF(11&lt;=$F$5,IF(11=$F$5,0,F19-E20),"")</f>
        <v/>
      </c>
    </row>
    <row r="21">
      <c r="A21" s="16">
        <f>IF(12&lt;=$F$5,12,"")</f>
        <v/>
      </c>
      <c r="B21" s="17">
        <f>IF(12&lt;=$F$5,DATE(YEAR($C$7),MONTH($C$7)+11,DAY($C$7)),"")</f>
        <v/>
      </c>
      <c r="C21" s="18">
        <f>IF(12&lt;=$F$5,$F$4,"")</f>
        <v/>
      </c>
      <c r="D21" s="18">
        <f>IF(12&lt;=$F$5,ROUND(F20*$C$5/12,2),"")</f>
        <v/>
      </c>
      <c r="E21" s="18">
        <f>IF(12&lt;=$F$5,C21-D21,"")</f>
        <v/>
      </c>
      <c r="F21" s="18">
        <f>IF(12&lt;=$F$5,IF(12=$F$5,0,F20-E21),"")</f>
        <v/>
      </c>
    </row>
    <row r="22">
      <c r="A22" s="13">
        <f>IF(13&lt;=$F$5,13,"")</f>
        <v/>
      </c>
      <c r="B22" s="14">
        <f>IF(13&lt;=$F$5,DATE(YEAR($C$7),MONTH($C$7)+12,DAY($C$7)),"")</f>
        <v/>
      </c>
      <c r="C22" s="15">
        <f>IF(13&lt;=$F$5,$F$4,"")</f>
        <v/>
      </c>
      <c r="D22" s="15">
        <f>IF(13&lt;=$F$5,ROUND(F21*$C$5/12,2),"")</f>
        <v/>
      </c>
      <c r="E22" s="15">
        <f>IF(13&lt;=$F$5,C22-D22,"")</f>
        <v/>
      </c>
      <c r="F22" s="15">
        <f>IF(13&lt;=$F$5,IF(13=$F$5,0,F21-E22),"")</f>
        <v/>
      </c>
    </row>
    <row r="23">
      <c r="A23" s="16">
        <f>IF(14&lt;=$F$5,14,"")</f>
        <v/>
      </c>
      <c r="B23" s="17">
        <f>IF(14&lt;=$F$5,DATE(YEAR($C$7),MONTH($C$7)+13,DAY($C$7)),"")</f>
        <v/>
      </c>
      <c r="C23" s="18">
        <f>IF(14&lt;=$F$5,$F$4,"")</f>
        <v/>
      </c>
      <c r="D23" s="18">
        <f>IF(14&lt;=$F$5,ROUND(F22*$C$5/12,2),"")</f>
        <v/>
      </c>
      <c r="E23" s="18">
        <f>IF(14&lt;=$F$5,C23-D23,"")</f>
        <v/>
      </c>
      <c r="F23" s="18">
        <f>IF(14&lt;=$F$5,IF(14=$F$5,0,F22-E23),"")</f>
        <v/>
      </c>
    </row>
    <row r="24">
      <c r="A24" s="13">
        <f>IF(15&lt;=$F$5,15,"")</f>
        <v/>
      </c>
      <c r="B24" s="14">
        <f>IF(15&lt;=$F$5,DATE(YEAR($C$7),MONTH($C$7)+14,DAY($C$7)),"")</f>
        <v/>
      </c>
      <c r="C24" s="15">
        <f>IF(15&lt;=$F$5,$F$4,"")</f>
        <v/>
      </c>
      <c r="D24" s="15">
        <f>IF(15&lt;=$F$5,ROUND(F23*$C$5/12,2),"")</f>
        <v/>
      </c>
      <c r="E24" s="15">
        <f>IF(15&lt;=$F$5,C24-D24,"")</f>
        <v/>
      </c>
      <c r="F24" s="15">
        <f>IF(15&lt;=$F$5,IF(15=$F$5,0,F23-E24),"")</f>
        <v/>
      </c>
    </row>
    <row r="25">
      <c r="A25" s="16">
        <f>IF(16&lt;=$F$5,16,"")</f>
        <v/>
      </c>
      <c r="B25" s="17">
        <f>IF(16&lt;=$F$5,DATE(YEAR($C$7),MONTH($C$7)+15,DAY($C$7)),"")</f>
        <v/>
      </c>
      <c r="C25" s="18">
        <f>IF(16&lt;=$F$5,$F$4,"")</f>
        <v/>
      </c>
      <c r="D25" s="18">
        <f>IF(16&lt;=$F$5,ROUND(F24*$C$5/12,2),"")</f>
        <v/>
      </c>
      <c r="E25" s="18">
        <f>IF(16&lt;=$F$5,C25-D25,"")</f>
        <v/>
      </c>
      <c r="F25" s="18">
        <f>IF(16&lt;=$F$5,IF(16=$F$5,0,F24-E25),"")</f>
        <v/>
      </c>
    </row>
    <row r="26">
      <c r="A26" s="13">
        <f>IF(17&lt;=$F$5,17,"")</f>
        <v/>
      </c>
      <c r="B26" s="14">
        <f>IF(17&lt;=$F$5,DATE(YEAR($C$7),MONTH($C$7)+16,DAY($C$7)),"")</f>
        <v/>
      </c>
      <c r="C26" s="15">
        <f>IF(17&lt;=$F$5,$F$4,"")</f>
        <v/>
      </c>
      <c r="D26" s="15">
        <f>IF(17&lt;=$F$5,ROUND(F25*$C$5/12,2),"")</f>
        <v/>
      </c>
      <c r="E26" s="15">
        <f>IF(17&lt;=$F$5,C26-D26,"")</f>
        <v/>
      </c>
      <c r="F26" s="15">
        <f>IF(17&lt;=$F$5,IF(17=$F$5,0,F25-E26),"")</f>
        <v/>
      </c>
    </row>
    <row r="27">
      <c r="A27" s="16">
        <f>IF(18&lt;=$F$5,18,"")</f>
        <v/>
      </c>
      <c r="B27" s="17">
        <f>IF(18&lt;=$F$5,DATE(YEAR($C$7),MONTH($C$7)+17,DAY($C$7)),"")</f>
        <v/>
      </c>
      <c r="C27" s="18">
        <f>IF(18&lt;=$F$5,$F$4,"")</f>
        <v/>
      </c>
      <c r="D27" s="18">
        <f>IF(18&lt;=$F$5,ROUND(F26*$C$5/12,2),"")</f>
        <v/>
      </c>
      <c r="E27" s="18">
        <f>IF(18&lt;=$F$5,C27-D27,"")</f>
        <v/>
      </c>
      <c r="F27" s="18">
        <f>IF(18&lt;=$F$5,IF(18=$F$5,0,F26-E27),"")</f>
        <v/>
      </c>
    </row>
    <row r="28">
      <c r="A28" s="13">
        <f>IF(19&lt;=$F$5,19,"")</f>
        <v/>
      </c>
      <c r="B28" s="14">
        <f>IF(19&lt;=$F$5,DATE(YEAR($C$7),MONTH($C$7)+18,DAY($C$7)),"")</f>
        <v/>
      </c>
      <c r="C28" s="15">
        <f>IF(19&lt;=$F$5,$F$4,"")</f>
        <v/>
      </c>
      <c r="D28" s="15">
        <f>IF(19&lt;=$F$5,ROUND(F27*$C$5/12,2),"")</f>
        <v/>
      </c>
      <c r="E28" s="15">
        <f>IF(19&lt;=$F$5,C28-D28,"")</f>
        <v/>
      </c>
      <c r="F28" s="15">
        <f>IF(19&lt;=$F$5,IF(19=$F$5,0,F27-E28),"")</f>
        <v/>
      </c>
    </row>
    <row r="29">
      <c r="A29" s="16">
        <f>IF(20&lt;=$F$5,20,"")</f>
        <v/>
      </c>
      <c r="B29" s="17">
        <f>IF(20&lt;=$F$5,DATE(YEAR($C$7),MONTH($C$7)+19,DAY($C$7)),"")</f>
        <v/>
      </c>
      <c r="C29" s="18">
        <f>IF(20&lt;=$F$5,$F$4,"")</f>
        <v/>
      </c>
      <c r="D29" s="18">
        <f>IF(20&lt;=$F$5,ROUND(F28*$C$5/12,2),"")</f>
        <v/>
      </c>
      <c r="E29" s="18">
        <f>IF(20&lt;=$F$5,C29-D29,"")</f>
        <v/>
      </c>
      <c r="F29" s="18">
        <f>IF(20&lt;=$F$5,IF(20=$F$5,0,F28-E29),"")</f>
        <v/>
      </c>
    </row>
    <row r="30">
      <c r="A30" s="13">
        <f>IF(21&lt;=$F$5,21,"")</f>
        <v/>
      </c>
      <c r="B30" s="14">
        <f>IF(21&lt;=$F$5,DATE(YEAR($C$7),MONTH($C$7)+20,DAY($C$7)),"")</f>
        <v/>
      </c>
      <c r="C30" s="15">
        <f>IF(21&lt;=$F$5,$F$4,"")</f>
        <v/>
      </c>
      <c r="D30" s="15">
        <f>IF(21&lt;=$F$5,ROUND(F29*$C$5/12,2),"")</f>
        <v/>
      </c>
      <c r="E30" s="15">
        <f>IF(21&lt;=$F$5,C30-D30,"")</f>
        <v/>
      </c>
      <c r="F30" s="15">
        <f>IF(21&lt;=$F$5,IF(21=$F$5,0,F29-E30),"")</f>
        <v/>
      </c>
    </row>
    <row r="31">
      <c r="A31" s="16">
        <f>IF(22&lt;=$F$5,22,"")</f>
        <v/>
      </c>
      <c r="B31" s="17">
        <f>IF(22&lt;=$F$5,DATE(YEAR($C$7),MONTH($C$7)+21,DAY($C$7)),"")</f>
        <v/>
      </c>
      <c r="C31" s="18">
        <f>IF(22&lt;=$F$5,$F$4,"")</f>
        <v/>
      </c>
      <c r="D31" s="18">
        <f>IF(22&lt;=$F$5,ROUND(F30*$C$5/12,2),"")</f>
        <v/>
      </c>
      <c r="E31" s="18">
        <f>IF(22&lt;=$F$5,C31-D31,"")</f>
        <v/>
      </c>
      <c r="F31" s="18">
        <f>IF(22&lt;=$F$5,IF(22=$F$5,0,F30-E31),"")</f>
        <v/>
      </c>
    </row>
    <row r="32">
      <c r="A32" s="13">
        <f>IF(23&lt;=$F$5,23,"")</f>
        <v/>
      </c>
      <c r="B32" s="14">
        <f>IF(23&lt;=$F$5,DATE(YEAR($C$7),MONTH($C$7)+22,DAY($C$7)),"")</f>
        <v/>
      </c>
      <c r="C32" s="15">
        <f>IF(23&lt;=$F$5,$F$4,"")</f>
        <v/>
      </c>
      <c r="D32" s="15">
        <f>IF(23&lt;=$F$5,ROUND(F31*$C$5/12,2),"")</f>
        <v/>
      </c>
      <c r="E32" s="15">
        <f>IF(23&lt;=$F$5,C32-D32,"")</f>
        <v/>
      </c>
      <c r="F32" s="15">
        <f>IF(23&lt;=$F$5,IF(23=$F$5,0,F31-E32),"")</f>
        <v/>
      </c>
    </row>
    <row r="33">
      <c r="A33" s="16">
        <f>IF(24&lt;=$F$5,24,"")</f>
        <v/>
      </c>
      <c r="B33" s="17">
        <f>IF(24&lt;=$F$5,DATE(YEAR($C$7),MONTH($C$7)+23,DAY($C$7)),"")</f>
        <v/>
      </c>
      <c r="C33" s="18">
        <f>IF(24&lt;=$F$5,$F$4,"")</f>
        <v/>
      </c>
      <c r="D33" s="18">
        <f>IF(24&lt;=$F$5,ROUND(F32*$C$5/12,2),"")</f>
        <v/>
      </c>
      <c r="E33" s="18">
        <f>IF(24&lt;=$F$5,C33-D33,"")</f>
        <v/>
      </c>
      <c r="F33" s="18">
        <f>IF(24&lt;=$F$5,IF(24=$F$5,0,F32-E33),"")</f>
        <v/>
      </c>
    </row>
    <row r="34">
      <c r="A34" s="13">
        <f>IF(25&lt;=$F$5,25,"")</f>
        <v/>
      </c>
      <c r="B34" s="14">
        <f>IF(25&lt;=$F$5,DATE(YEAR($C$7),MONTH($C$7)+24,DAY($C$7)),"")</f>
        <v/>
      </c>
      <c r="C34" s="15">
        <f>IF(25&lt;=$F$5,$F$4,"")</f>
        <v/>
      </c>
      <c r="D34" s="15">
        <f>IF(25&lt;=$F$5,ROUND(F33*$C$5/12,2),"")</f>
        <v/>
      </c>
      <c r="E34" s="15">
        <f>IF(25&lt;=$F$5,C34-D34,"")</f>
        <v/>
      </c>
      <c r="F34" s="15">
        <f>IF(25&lt;=$F$5,IF(25=$F$5,0,F33-E34),"")</f>
        <v/>
      </c>
    </row>
    <row r="35">
      <c r="A35" s="16">
        <f>IF(26&lt;=$F$5,26,"")</f>
        <v/>
      </c>
      <c r="B35" s="17">
        <f>IF(26&lt;=$F$5,DATE(YEAR($C$7),MONTH($C$7)+25,DAY($C$7)),"")</f>
        <v/>
      </c>
      <c r="C35" s="18">
        <f>IF(26&lt;=$F$5,$F$4,"")</f>
        <v/>
      </c>
      <c r="D35" s="18">
        <f>IF(26&lt;=$F$5,ROUND(F34*$C$5/12,2),"")</f>
        <v/>
      </c>
      <c r="E35" s="18">
        <f>IF(26&lt;=$F$5,C35-D35,"")</f>
        <v/>
      </c>
      <c r="F35" s="18">
        <f>IF(26&lt;=$F$5,IF(26=$F$5,0,F34-E35),"")</f>
        <v/>
      </c>
    </row>
    <row r="36">
      <c r="A36" s="13">
        <f>IF(27&lt;=$F$5,27,"")</f>
        <v/>
      </c>
      <c r="B36" s="14">
        <f>IF(27&lt;=$F$5,DATE(YEAR($C$7),MONTH($C$7)+26,DAY($C$7)),"")</f>
        <v/>
      </c>
      <c r="C36" s="15">
        <f>IF(27&lt;=$F$5,$F$4,"")</f>
        <v/>
      </c>
      <c r="D36" s="15">
        <f>IF(27&lt;=$F$5,ROUND(F35*$C$5/12,2),"")</f>
        <v/>
      </c>
      <c r="E36" s="15">
        <f>IF(27&lt;=$F$5,C36-D36,"")</f>
        <v/>
      </c>
      <c r="F36" s="15">
        <f>IF(27&lt;=$F$5,IF(27=$F$5,0,F35-E36),"")</f>
        <v/>
      </c>
    </row>
    <row r="37">
      <c r="A37" s="16">
        <f>IF(28&lt;=$F$5,28,"")</f>
        <v/>
      </c>
      <c r="B37" s="17">
        <f>IF(28&lt;=$F$5,DATE(YEAR($C$7),MONTH($C$7)+27,DAY($C$7)),"")</f>
        <v/>
      </c>
      <c r="C37" s="18">
        <f>IF(28&lt;=$F$5,$F$4,"")</f>
        <v/>
      </c>
      <c r="D37" s="18">
        <f>IF(28&lt;=$F$5,ROUND(F36*$C$5/12,2),"")</f>
        <v/>
      </c>
      <c r="E37" s="18">
        <f>IF(28&lt;=$F$5,C37-D37,"")</f>
        <v/>
      </c>
      <c r="F37" s="18">
        <f>IF(28&lt;=$F$5,IF(28=$F$5,0,F36-E37),"")</f>
        <v/>
      </c>
    </row>
    <row r="38">
      <c r="A38" s="13">
        <f>IF(29&lt;=$F$5,29,"")</f>
        <v/>
      </c>
      <c r="B38" s="14">
        <f>IF(29&lt;=$F$5,DATE(YEAR($C$7),MONTH($C$7)+28,DAY($C$7)),"")</f>
        <v/>
      </c>
      <c r="C38" s="15">
        <f>IF(29&lt;=$F$5,$F$4,"")</f>
        <v/>
      </c>
      <c r="D38" s="15">
        <f>IF(29&lt;=$F$5,ROUND(F37*$C$5/12,2),"")</f>
        <v/>
      </c>
      <c r="E38" s="15">
        <f>IF(29&lt;=$F$5,C38-D38,"")</f>
        <v/>
      </c>
      <c r="F38" s="15">
        <f>IF(29&lt;=$F$5,IF(29=$F$5,0,F37-E38),"")</f>
        <v/>
      </c>
    </row>
    <row r="39">
      <c r="A39" s="16">
        <f>IF(30&lt;=$F$5,30,"")</f>
        <v/>
      </c>
      <c r="B39" s="17">
        <f>IF(30&lt;=$F$5,DATE(YEAR($C$7),MONTH($C$7)+29,DAY($C$7)),"")</f>
        <v/>
      </c>
      <c r="C39" s="18">
        <f>IF(30&lt;=$F$5,$F$4,"")</f>
        <v/>
      </c>
      <c r="D39" s="18">
        <f>IF(30&lt;=$F$5,ROUND(F38*$C$5/12,2),"")</f>
        <v/>
      </c>
      <c r="E39" s="18">
        <f>IF(30&lt;=$F$5,C39-D39,"")</f>
        <v/>
      </c>
      <c r="F39" s="18">
        <f>IF(30&lt;=$F$5,IF(30=$F$5,0,F38-E39),"")</f>
        <v/>
      </c>
    </row>
    <row r="40">
      <c r="A40" s="13">
        <f>IF(31&lt;=$F$5,31,"")</f>
        <v/>
      </c>
      <c r="B40" s="14">
        <f>IF(31&lt;=$F$5,DATE(YEAR($C$7),MONTH($C$7)+30,DAY($C$7)),"")</f>
        <v/>
      </c>
      <c r="C40" s="15">
        <f>IF(31&lt;=$F$5,$F$4,"")</f>
        <v/>
      </c>
      <c r="D40" s="15">
        <f>IF(31&lt;=$F$5,ROUND(F39*$C$5/12,2),"")</f>
        <v/>
      </c>
      <c r="E40" s="15">
        <f>IF(31&lt;=$F$5,C40-D40,"")</f>
        <v/>
      </c>
      <c r="F40" s="15">
        <f>IF(31&lt;=$F$5,IF(31=$F$5,0,F39-E40),"")</f>
        <v/>
      </c>
    </row>
    <row r="41">
      <c r="A41" s="16">
        <f>IF(32&lt;=$F$5,32,"")</f>
        <v/>
      </c>
      <c r="B41" s="17">
        <f>IF(32&lt;=$F$5,DATE(YEAR($C$7),MONTH($C$7)+31,DAY($C$7)),"")</f>
        <v/>
      </c>
      <c r="C41" s="18">
        <f>IF(32&lt;=$F$5,$F$4,"")</f>
        <v/>
      </c>
      <c r="D41" s="18">
        <f>IF(32&lt;=$F$5,ROUND(F40*$C$5/12,2),"")</f>
        <v/>
      </c>
      <c r="E41" s="18">
        <f>IF(32&lt;=$F$5,C41-D41,"")</f>
        <v/>
      </c>
      <c r="F41" s="18">
        <f>IF(32&lt;=$F$5,IF(32=$F$5,0,F40-E41),"")</f>
        <v/>
      </c>
    </row>
    <row r="42">
      <c r="A42" s="13">
        <f>IF(33&lt;=$F$5,33,"")</f>
        <v/>
      </c>
      <c r="B42" s="14">
        <f>IF(33&lt;=$F$5,DATE(YEAR($C$7),MONTH($C$7)+32,DAY($C$7)),"")</f>
        <v/>
      </c>
      <c r="C42" s="15">
        <f>IF(33&lt;=$F$5,$F$4,"")</f>
        <v/>
      </c>
      <c r="D42" s="15">
        <f>IF(33&lt;=$F$5,ROUND(F41*$C$5/12,2),"")</f>
        <v/>
      </c>
      <c r="E42" s="15">
        <f>IF(33&lt;=$F$5,C42-D42,"")</f>
        <v/>
      </c>
      <c r="F42" s="15">
        <f>IF(33&lt;=$F$5,IF(33=$F$5,0,F41-E42),"")</f>
        <v/>
      </c>
    </row>
    <row r="43">
      <c r="A43" s="16">
        <f>IF(34&lt;=$F$5,34,"")</f>
        <v/>
      </c>
      <c r="B43" s="17">
        <f>IF(34&lt;=$F$5,DATE(YEAR($C$7),MONTH($C$7)+33,DAY($C$7)),"")</f>
        <v/>
      </c>
      <c r="C43" s="18">
        <f>IF(34&lt;=$F$5,$F$4,"")</f>
        <v/>
      </c>
      <c r="D43" s="18">
        <f>IF(34&lt;=$F$5,ROUND(F42*$C$5/12,2),"")</f>
        <v/>
      </c>
      <c r="E43" s="18">
        <f>IF(34&lt;=$F$5,C43-D43,"")</f>
        <v/>
      </c>
      <c r="F43" s="18">
        <f>IF(34&lt;=$F$5,IF(34=$F$5,0,F42-E43),"")</f>
        <v/>
      </c>
    </row>
    <row r="44">
      <c r="A44" s="13">
        <f>IF(35&lt;=$F$5,35,"")</f>
        <v/>
      </c>
      <c r="B44" s="14">
        <f>IF(35&lt;=$F$5,DATE(YEAR($C$7),MONTH($C$7)+34,DAY($C$7)),"")</f>
        <v/>
      </c>
      <c r="C44" s="15">
        <f>IF(35&lt;=$F$5,$F$4,"")</f>
        <v/>
      </c>
      <c r="D44" s="15">
        <f>IF(35&lt;=$F$5,ROUND(F43*$C$5/12,2),"")</f>
        <v/>
      </c>
      <c r="E44" s="15">
        <f>IF(35&lt;=$F$5,C44-D44,"")</f>
        <v/>
      </c>
      <c r="F44" s="15">
        <f>IF(35&lt;=$F$5,IF(35=$F$5,0,F43-E44),"")</f>
        <v/>
      </c>
    </row>
    <row r="45">
      <c r="A45" s="16">
        <f>IF(36&lt;=$F$5,36,"")</f>
        <v/>
      </c>
      <c r="B45" s="17">
        <f>IF(36&lt;=$F$5,DATE(YEAR($C$7),MONTH($C$7)+35,DAY($C$7)),"")</f>
        <v/>
      </c>
      <c r="C45" s="18">
        <f>IF(36&lt;=$F$5,$F$4,"")</f>
        <v/>
      </c>
      <c r="D45" s="18">
        <f>IF(36&lt;=$F$5,ROUND(F44*$C$5/12,2),"")</f>
        <v/>
      </c>
      <c r="E45" s="18">
        <f>IF(36&lt;=$F$5,C45-D45,"")</f>
        <v/>
      </c>
      <c r="F45" s="18">
        <f>IF(36&lt;=$F$5,IF(36=$F$5,0,F44-E45),"")</f>
        <v/>
      </c>
    </row>
    <row r="46">
      <c r="A46" s="13">
        <f>IF(37&lt;=$F$5,37,"")</f>
        <v/>
      </c>
      <c r="B46" s="14">
        <f>IF(37&lt;=$F$5,DATE(YEAR($C$7),MONTH($C$7)+36,DAY($C$7)),"")</f>
        <v/>
      </c>
      <c r="C46" s="15">
        <f>IF(37&lt;=$F$5,$F$4,"")</f>
        <v/>
      </c>
      <c r="D46" s="15">
        <f>IF(37&lt;=$F$5,ROUND(F45*$C$5/12,2),"")</f>
        <v/>
      </c>
      <c r="E46" s="15">
        <f>IF(37&lt;=$F$5,C46-D46,"")</f>
        <v/>
      </c>
      <c r="F46" s="15">
        <f>IF(37&lt;=$F$5,IF(37=$F$5,0,F45-E46),"")</f>
        <v/>
      </c>
    </row>
    <row r="47">
      <c r="A47" s="16">
        <f>IF(38&lt;=$F$5,38,"")</f>
        <v/>
      </c>
      <c r="B47" s="17">
        <f>IF(38&lt;=$F$5,DATE(YEAR($C$7),MONTH($C$7)+37,DAY($C$7)),"")</f>
        <v/>
      </c>
      <c r="C47" s="18">
        <f>IF(38&lt;=$F$5,$F$4,"")</f>
        <v/>
      </c>
      <c r="D47" s="18">
        <f>IF(38&lt;=$F$5,ROUND(F46*$C$5/12,2),"")</f>
        <v/>
      </c>
      <c r="E47" s="18">
        <f>IF(38&lt;=$F$5,C47-D47,"")</f>
        <v/>
      </c>
      <c r="F47" s="18">
        <f>IF(38&lt;=$F$5,IF(38=$F$5,0,F46-E47),"")</f>
        <v/>
      </c>
    </row>
    <row r="48">
      <c r="A48" s="13">
        <f>IF(39&lt;=$F$5,39,"")</f>
        <v/>
      </c>
      <c r="B48" s="14">
        <f>IF(39&lt;=$F$5,DATE(YEAR($C$7),MONTH($C$7)+38,DAY($C$7)),"")</f>
        <v/>
      </c>
      <c r="C48" s="15">
        <f>IF(39&lt;=$F$5,$F$4,"")</f>
        <v/>
      </c>
      <c r="D48" s="15">
        <f>IF(39&lt;=$F$5,ROUND(F47*$C$5/12,2),"")</f>
        <v/>
      </c>
      <c r="E48" s="15">
        <f>IF(39&lt;=$F$5,C48-D48,"")</f>
        <v/>
      </c>
      <c r="F48" s="15">
        <f>IF(39&lt;=$F$5,IF(39=$F$5,0,F47-E48),"")</f>
        <v/>
      </c>
    </row>
    <row r="49">
      <c r="A49" s="16">
        <f>IF(40&lt;=$F$5,40,"")</f>
        <v/>
      </c>
      <c r="B49" s="17">
        <f>IF(40&lt;=$F$5,DATE(YEAR($C$7),MONTH($C$7)+39,DAY($C$7)),"")</f>
        <v/>
      </c>
      <c r="C49" s="18">
        <f>IF(40&lt;=$F$5,$F$4,"")</f>
        <v/>
      </c>
      <c r="D49" s="18">
        <f>IF(40&lt;=$F$5,ROUND(F48*$C$5/12,2),"")</f>
        <v/>
      </c>
      <c r="E49" s="18">
        <f>IF(40&lt;=$F$5,C49-D49,"")</f>
        <v/>
      </c>
      <c r="F49" s="18">
        <f>IF(40&lt;=$F$5,IF(40=$F$5,0,F48-E49),"")</f>
        <v/>
      </c>
    </row>
    <row r="50">
      <c r="A50" s="13">
        <f>IF(41&lt;=$F$5,41,"")</f>
        <v/>
      </c>
      <c r="B50" s="14">
        <f>IF(41&lt;=$F$5,DATE(YEAR($C$7),MONTH($C$7)+40,DAY($C$7)),"")</f>
        <v/>
      </c>
      <c r="C50" s="15">
        <f>IF(41&lt;=$F$5,$F$4,"")</f>
        <v/>
      </c>
      <c r="D50" s="15">
        <f>IF(41&lt;=$F$5,ROUND(F49*$C$5/12,2),"")</f>
        <v/>
      </c>
      <c r="E50" s="15">
        <f>IF(41&lt;=$F$5,C50-D50,"")</f>
        <v/>
      </c>
      <c r="F50" s="15">
        <f>IF(41&lt;=$F$5,IF(41=$F$5,0,F49-E50),"")</f>
        <v/>
      </c>
    </row>
    <row r="51">
      <c r="A51" s="16">
        <f>IF(42&lt;=$F$5,42,"")</f>
        <v/>
      </c>
      <c r="B51" s="17">
        <f>IF(42&lt;=$F$5,DATE(YEAR($C$7),MONTH($C$7)+41,DAY($C$7)),"")</f>
        <v/>
      </c>
      <c r="C51" s="18">
        <f>IF(42&lt;=$F$5,$F$4,"")</f>
        <v/>
      </c>
      <c r="D51" s="18">
        <f>IF(42&lt;=$F$5,ROUND(F50*$C$5/12,2),"")</f>
        <v/>
      </c>
      <c r="E51" s="18">
        <f>IF(42&lt;=$F$5,C51-D51,"")</f>
        <v/>
      </c>
      <c r="F51" s="18">
        <f>IF(42&lt;=$F$5,IF(42=$F$5,0,F50-E51),"")</f>
        <v/>
      </c>
    </row>
    <row r="52">
      <c r="A52" s="13">
        <f>IF(43&lt;=$F$5,43,"")</f>
        <v/>
      </c>
      <c r="B52" s="14">
        <f>IF(43&lt;=$F$5,DATE(YEAR($C$7),MONTH($C$7)+42,DAY($C$7)),"")</f>
        <v/>
      </c>
      <c r="C52" s="15">
        <f>IF(43&lt;=$F$5,$F$4,"")</f>
        <v/>
      </c>
      <c r="D52" s="15">
        <f>IF(43&lt;=$F$5,ROUND(F51*$C$5/12,2),"")</f>
        <v/>
      </c>
      <c r="E52" s="15">
        <f>IF(43&lt;=$F$5,C52-D52,"")</f>
        <v/>
      </c>
      <c r="F52" s="15">
        <f>IF(43&lt;=$F$5,IF(43=$F$5,0,F51-E52),"")</f>
        <v/>
      </c>
    </row>
    <row r="53">
      <c r="A53" s="16">
        <f>IF(44&lt;=$F$5,44,"")</f>
        <v/>
      </c>
      <c r="B53" s="17">
        <f>IF(44&lt;=$F$5,DATE(YEAR($C$7),MONTH($C$7)+43,DAY($C$7)),"")</f>
        <v/>
      </c>
      <c r="C53" s="18">
        <f>IF(44&lt;=$F$5,$F$4,"")</f>
        <v/>
      </c>
      <c r="D53" s="18">
        <f>IF(44&lt;=$F$5,ROUND(F52*$C$5/12,2),"")</f>
        <v/>
      </c>
      <c r="E53" s="18">
        <f>IF(44&lt;=$F$5,C53-D53,"")</f>
        <v/>
      </c>
      <c r="F53" s="18">
        <f>IF(44&lt;=$F$5,IF(44=$F$5,0,F52-E53),"")</f>
        <v/>
      </c>
    </row>
    <row r="54">
      <c r="A54" s="13">
        <f>IF(45&lt;=$F$5,45,"")</f>
        <v/>
      </c>
      <c r="B54" s="14">
        <f>IF(45&lt;=$F$5,DATE(YEAR($C$7),MONTH($C$7)+44,DAY($C$7)),"")</f>
        <v/>
      </c>
      <c r="C54" s="15">
        <f>IF(45&lt;=$F$5,$F$4,"")</f>
        <v/>
      </c>
      <c r="D54" s="15">
        <f>IF(45&lt;=$F$5,ROUND(F53*$C$5/12,2),"")</f>
        <v/>
      </c>
      <c r="E54" s="15">
        <f>IF(45&lt;=$F$5,C54-D54,"")</f>
        <v/>
      </c>
      <c r="F54" s="15">
        <f>IF(45&lt;=$F$5,IF(45=$F$5,0,F53-E54),"")</f>
        <v/>
      </c>
    </row>
    <row r="55">
      <c r="A55" s="16">
        <f>IF(46&lt;=$F$5,46,"")</f>
        <v/>
      </c>
      <c r="B55" s="17">
        <f>IF(46&lt;=$F$5,DATE(YEAR($C$7),MONTH($C$7)+45,DAY($C$7)),"")</f>
        <v/>
      </c>
      <c r="C55" s="18">
        <f>IF(46&lt;=$F$5,$F$4,"")</f>
        <v/>
      </c>
      <c r="D55" s="18">
        <f>IF(46&lt;=$F$5,ROUND(F54*$C$5/12,2),"")</f>
        <v/>
      </c>
      <c r="E55" s="18">
        <f>IF(46&lt;=$F$5,C55-D55,"")</f>
        <v/>
      </c>
      <c r="F55" s="18">
        <f>IF(46&lt;=$F$5,IF(46=$F$5,0,F54-E55),"")</f>
        <v/>
      </c>
    </row>
    <row r="56">
      <c r="A56" s="13">
        <f>IF(47&lt;=$F$5,47,"")</f>
        <v/>
      </c>
      <c r="B56" s="14">
        <f>IF(47&lt;=$F$5,DATE(YEAR($C$7),MONTH($C$7)+46,DAY($C$7)),"")</f>
        <v/>
      </c>
      <c r="C56" s="15">
        <f>IF(47&lt;=$F$5,$F$4,"")</f>
        <v/>
      </c>
      <c r="D56" s="15">
        <f>IF(47&lt;=$F$5,ROUND(F55*$C$5/12,2),"")</f>
        <v/>
      </c>
      <c r="E56" s="15">
        <f>IF(47&lt;=$F$5,C56-D56,"")</f>
        <v/>
      </c>
      <c r="F56" s="15">
        <f>IF(47&lt;=$F$5,IF(47=$F$5,0,F55-E56),"")</f>
        <v/>
      </c>
    </row>
    <row r="57">
      <c r="A57" s="16">
        <f>IF(48&lt;=$F$5,48,"")</f>
        <v/>
      </c>
      <c r="B57" s="17">
        <f>IF(48&lt;=$F$5,DATE(YEAR($C$7),MONTH($C$7)+47,DAY($C$7)),"")</f>
        <v/>
      </c>
      <c r="C57" s="18">
        <f>IF(48&lt;=$F$5,$F$4,"")</f>
        <v/>
      </c>
      <c r="D57" s="18">
        <f>IF(48&lt;=$F$5,ROUND(F56*$C$5/12,2),"")</f>
        <v/>
      </c>
      <c r="E57" s="18">
        <f>IF(48&lt;=$F$5,C57-D57,"")</f>
        <v/>
      </c>
      <c r="F57" s="18">
        <f>IF(48&lt;=$F$5,IF(48=$F$5,0,F56-E57),"")</f>
        <v/>
      </c>
    </row>
    <row r="58">
      <c r="A58" s="13">
        <f>IF(49&lt;=$F$5,49,"")</f>
        <v/>
      </c>
      <c r="B58" s="14">
        <f>IF(49&lt;=$F$5,DATE(YEAR($C$7),MONTH($C$7)+48,DAY($C$7)),"")</f>
        <v/>
      </c>
      <c r="C58" s="15">
        <f>IF(49&lt;=$F$5,$F$4,"")</f>
        <v/>
      </c>
      <c r="D58" s="15">
        <f>IF(49&lt;=$F$5,ROUND(F57*$C$5/12,2),"")</f>
        <v/>
      </c>
      <c r="E58" s="15">
        <f>IF(49&lt;=$F$5,C58-D58,"")</f>
        <v/>
      </c>
      <c r="F58" s="15">
        <f>IF(49&lt;=$F$5,IF(49=$F$5,0,F57-E58),"")</f>
        <v/>
      </c>
    </row>
    <row r="59">
      <c r="A59" s="16">
        <f>IF(50&lt;=$F$5,50,"")</f>
        <v/>
      </c>
      <c r="B59" s="17">
        <f>IF(50&lt;=$F$5,DATE(YEAR($C$7),MONTH($C$7)+49,DAY($C$7)),"")</f>
        <v/>
      </c>
      <c r="C59" s="18">
        <f>IF(50&lt;=$F$5,$F$4,"")</f>
        <v/>
      </c>
      <c r="D59" s="18">
        <f>IF(50&lt;=$F$5,ROUND(F58*$C$5/12,2),"")</f>
        <v/>
      </c>
      <c r="E59" s="18">
        <f>IF(50&lt;=$F$5,C59-D59,"")</f>
        <v/>
      </c>
      <c r="F59" s="18">
        <f>IF(50&lt;=$F$5,IF(50=$F$5,0,F58-E59),"")</f>
        <v/>
      </c>
    </row>
    <row r="60">
      <c r="A60" s="13">
        <f>IF(51&lt;=$F$5,51,"")</f>
        <v/>
      </c>
      <c r="B60" s="14">
        <f>IF(51&lt;=$F$5,DATE(YEAR($C$7),MONTH($C$7)+50,DAY($C$7)),"")</f>
        <v/>
      </c>
      <c r="C60" s="15">
        <f>IF(51&lt;=$F$5,$F$4,"")</f>
        <v/>
      </c>
      <c r="D60" s="15">
        <f>IF(51&lt;=$F$5,ROUND(F59*$C$5/12,2),"")</f>
        <v/>
      </c>
      <c r="E60" s="15">
        <f>IF(51&lt;=$F$5,C60-D60,"")</f>
        <v/>
      </c>
      <c r="F60" s="15">
        <f>IF(51&lt;=$F$5,IF(51=$F$5,0,F59-E60),"")</f>
        <v/>
      </c>
    </row>
    <row r="61">
      <c r="A61" s="16">
        <f>IF(52&lt;=$F$5,52,"")</f>
        <v/>
      </c>
      <c r="B61" s="17">
        <f>IF(52&lt;=$F$5,DATE(YEAR($C$7),MONTH($C$7)+51,DAY($C$7)),"")</f>
        <v/>
      </c>
      <c r="C61" s="18">
        <f>IF(52&lt;=$F$5,$F$4,"")</f>
        <v/>
      </c>
      <c r="D61" s="18">
        <f>IF(52&lt;=$F$5,ROUND(F60*$C$5/12,2),"")</f>
        <v/>
      </c>
      <c r="E61" s="18">
        <f>IF(52&lt;=$F$5,C61-D61,"")</f>
        <v/>
      </c>
      <c r="F61" s="18">
        <f>IF(52&lt;=$F$5,IF(52=$F$5,0,F60-E61),"")</f>
        <v/>
      </c>
    </row>
    <row r="62">
      <c r="A62" s="13">
        <f>IF(53&lt;=$F$5,53,"")</f>
        <v/>
      </c>
      <c r="B62" s="14">
        <f>IF(53&lt;=$F$5,DATE(YEAR($C$7),MONTH($C$7)+52,DAY($C$7)),"")</f>
        <v/>
      </c>
      <c r="C62" s="15">
        <f>IF(53&lt;=$F$5,$F$4,"")</f>
        <v/>
      </c>
      <c r="D62" s="15">
        <f>IF(53&lt;=$F$5,ROUND(F61*$C$5/12,2),"")</f>
        <v/>
      </c>
      <c r="E62" s="15">
        <f>IF(53&lt;=$F$5,C62-D62,"")</f>
        <v/>
      </c>
      <c r="F62" s="15">
        <f>IF(53&lt;=$F$5,IF(53=$F$5,0,F61-E62),"")</f>
        <v/>
      </c>
    </row>
    <row r="63">
      <c r="A63" s="16">
        <f>IF(54&lt;=$F$5,54,"")</f>
        <v/>
      </c>
      <c r="B63" s="17">
        <f>IF(54&lt;=$F$5,DATE(YEAR($C$7),MONTH($C$7)+53,DAY($C$7)),"")</f>
        <v/>
      </c>
      <c r="C63" s="18">
        <f>IF(54&lt;=$F$5,$F$4,"")</f>
        <v/>
      </c>
      <c r="D63" s="18">
        <f>IF(54&lt;=$F$5,ROUND(F62*$C$5/12,2),"")</f>
        <v/>
      </c>
      <c r="E63" s="18">
        <f>IF(54&lt;=$F$5,C63-D63,"")</f>
        <v/>
      </c>
      <c r="F63" s="18">
        <f>IF(54&lt;=$F$5,IF(54=$F$5,0,F62-E63),"")</f>
        <v/>
      </c>
    </row>
    <row r="64">
      <c r="A64" s="13">
        <f>IF(55&lt;=$F$5,55,"")</f>
        <v/>
      </c>
      <c r="B64" s="14">
        <f>IF(55&lt;=$F$5,DATE(YEAR($C$7),MONTH($C$7)+54,DAY($C$7)),"")</f>
        <v/>
      </c>
      <c r="C64" s="15">
        <f>IF(55&lt;=$F$5,$F$4,"")</f>
        <v/>
      </c>
      <c r="D64" s="15">
        <f>IF(55&lt;=$F$5,ROUND(F63*$C$5/12,2),"")</f>
        <v/>
      </c>
      <c r="E64" s="15">
        <f>IF(55&lt;=$F$5,C64-D64,"")</f>
        <v/>
      </c>
      <c r="F64" s="15">
        <f>IF(55&lt;=$F$5,IF(55=$F$5,0,F63-E64),"")</f>
        <v/>
      </c>
    </row>
    <row r="65">
      <c r="A65" s="16">
        <f>IF(56&lt;=$F$5,56,"")</f>
        <v/>
      </c>
      <c r="B65" s="17">
        <f>IF(56&lt;=$F$5,DATE(YEAR($C$7),MONTH($C$7)+55,DAY($C$7)),"")</f>
        <v/>
      </c>
      <c r="C65" s="18">
        <f>IF(56&lt;=$F$5,$F$4,"")</f>
        <v/>
      </c>
      <c r="D65" s="18">
        <f>IF(56&lt;=$F$5,ROUND(F64*$C$5/12,2),"")</f>
        <v/>
      </c>
      <c r="E65" s="18">
        <f>IF(56&lt;=$F$5,C65-D65,"")</f>
        <v/>
      </c>
      <c r="F65" s="18">
        <f>IF(56&lt;=$F$5,IF(56=$F$5,0,F64-E65),"")</f>
        <v/>
      </c>
    </row>
    <row r="66">
      <c r="A66" s="13">
        <f>IF(57&lt;=$F$5,57,"")</f>
        <v/>
      </c>
      <c r="B66" s="14">
        <f>IF(57&lt;=$F$5,DATE(YEAR($C$7),MONTH($C$7)+56,DAY($C$7)),"")</f>
        <v/>
      </c>
      <c r="C66" s="15">
        <f>IF(57&lt;=$F$5,$F$4,"")</f>
        <v/>
      </c>
      <c r="D66" s="15">
        <f>IF(57&lt;=$F$5,ROUND(F65*$C$5/12,2),"")</f>
        <v/>
      </c>
      <c r="E66" s="15">
        <f>IF(57&lt;=$F$5,C66-D66,"")</f>
        <v/>
      </c>
      <c r="F66" s="15">
        <f>IF(57&lt;=$F$5,IF(57=$F$5,0,F65-E66),"")</f>
        <v/>
      </c>
    </row>
    <row r="67">
      <c r="A67" s="16">
        <f>IF(58&lt;=$F$5,58,"")</f>
        <v/>
      </c>
      <c r="B67" s="17">
        <f>IF(58&lt;=$F$5,DATE(YEAR($C$7),MONTH($C$7)+57,DAY($C$7)),"")</f>
        <v/>
      </c>
      <c r="C67" s="18">
        <f>IF(58&lt;=$F$5,$F$4,"")</f>
        <v/>
      </c>
      <c r="D67" s="18">
        <f>IF(58&lt;=$F$5,ROUND(F66*$C$5/12,2),"")</f>
        <v/>
      </c>
      <c r="E67" s="18">
        <f>IF(58&lt;=$F$5,C67-D67,"")</f>
        <v/>
      </c>
      <c r="F67" s="18">
        <f>IF(58&lt;=$F$5,IF(58=$F$5,0,F66-E67),"")</f>
        <v/>
      </c>
    </row>
    <row r="68">
      <c r="A68" s="13">
        <f>IF(59&lt;=$F$5,59,"")</f>
        <v/>
      </c>
      <c r="B68" s="14">
        <f>IF(59&lt;=$F$5,DATE(YEAR($C$7),MONTH($C$7)+58,DAY($C$7)),"")</f>
        <v/>
      </c>
      <c r="C68" s="15">
        <f>IF(59&lt;=$F$5,$F$4,"")</f>
        <v/>
      </c>
      <c r="D68" s="15">
        <f>IF(59&lt;=$F$5,ROUND(F67*$C$5/12,2),"")</f>
        <v/>
      </c>
      <c r="E68" s="15">
        <f>IF(59&lt;=$F$5,C68-D68,"")</f>
        <v/>
      </c>
      <c r="F68" s="15">
        <f>IF(59&lt;=$F$5,IF(59=$F$5,0,F67-E68),"")</f>
        <v/>
      </c>
    </row>
    <row r="69">
      <c r="A69" s="16">
        <f>IF(60&lt;=$F$5,60,"")</f>
        <v/>
      </c>
      <c r="B69" s="17">
        <f>IF(60&lt;=$F$5,DATE(YEAR($C$7),MONTH($C$7)+59,DAY($C$7)),"")</f>
        <v/>
      </c>
      <c r="C69" s="18">
        <f>IF(60&lt;=$F$5,$F$4,"")</f>
        <v/>
      </c>
      <c r="D69" s="18">
        <f>IF(60&lt;=$F$5,ROUND(F68*$C$5/12,2),"")</f>
        <v/>
      </c>
      <c r="E69" s="18">
        <f>IF(60&lt;=$F$5,C69-D69,"")</f>
        <v/>
      </c>
      <c r="F69" s="18">
        <f>IF(60&lt;=$F$5,IF(60=$F$5,0,F68-E69),"")</f>
        <v/>
      </c>
    </row>
    <row r="70">
      <c r="A70" s="13">
        <f>IF(61&lt;=$F$5,61,"")</f>
        <v/>
      </c>
      <c r="B70" s="14">
        <f>IF(61&lt;=$F$5,DATE(YEAR($C$7),MONTH($C$7)+60,DAY($C$7)),"")</f>
        <v/>
      </c>
      <c r="C70" s="15">
        <f>IF(61&lt;=$F$5,$F$4,"")</f>
        <v/>
      </c>
      <c r="D70" s="15">
        <f>IF(61&lt;=$F$5,ROUND(F69*$C$5/12,2),"")</f>
        <v/>
      </c>
      <c r="E70" s="15">
        <f>IF(61&lt;=$F$5,C70-D70,"")</f>
        <v/>
      </c>
      <c r="F70" s="15">
        <f>IF(61&lt;=$F$5,IF(61=$F$5,0,F69-E70),"")</f>
        <v/>
      </c>
    </row>
    <row r="71">
      <c r="A71" s="16">
        <f>IF(62&lt;=$F$5,62,"")</f>
        <v/>
      </c>
      <c r="B71" s="17">
        <f>IF(62&lt;=$F$5,DATE(YEAR($C$7),MONTH($C$7)+61,DAY($C$7)),"")</f>
        <v/>
      </c>
      <c r="C71" s="18">
        <f>IF(62&lt;=$F$5,$F$4,"")</f>
        <v/>
      </c>
      <c r="D71" s="18">
        <f>IF(62&lt;=$F$5,ROUND(F70*$C$5/12,2),"")</f>
        <v/>
      </c>
      <c r="E71" s="18">
        <f>IF(62&lt;=$F$5,C71-D71,"")</f>
        <v/>
      </c>
      <c r="F71" s="18">
        <f>IF(62&lt;=$F$5,IF(62=$F$5,0,F70-E71),"")</f>
        <v/>
      </c>
    </row>
    <row r="72">
      <c r="A72" s="13">
        <f>IF(63&lt;=$F$5,63,"")</f>
        <v/>
      </c>
      <c r="B72" s="14">
        <f>IF(63&lt;=$F$5,DATE(YEAR($C$7),MONTH($C$7)+62,DAY($C$7)),"")</f>
        <v/>
      </c>
      <c r="C72" s="15">
        <f>IF(63&lt;=$F$5,$F$4,"")</f>
        <v/>
      </c>
      <c r="D72" s="15">
        <f>IF(63&lt;=$F$5,ROUND(F71*$C$5/12,2),"")</f>
        <v/>
      </c>
      <c r="E72" s="15">
        <f>IF(63&lt;=$F$5,C72-D72,"")</f>
        <v/>
      </c>
      <c r="F72" s="15">
        <f>IF(63&lt;=$F$5,IF(63=$F$5,0,F71-E72),"")</f>
        <v/>
      </c>
    </row>
    <row r="73">
      <c r="A73" s="16">
        <f>IF(64&lt;=$F$5,64,"")</f>
        <v/>
      </c>
      <c r="B73" s="17">
        <f>IF(64&lt;=$F$5,DATE(YEAR($C$7),MONTH($C$7)+63,DAY($C$7)),"")</f>
        <v/>
      </c>
      <c r="C73" s="18">
        <f>IF(64&lt;=$F$5,$F$4,"")</f>
        <v/>
      </c>
      <c r="D73" s="18">
        <f>IF(64&lt;=$F$5,ROUND(F72*$C$5/12,2),"")</f>
        <v/>
      </c>
      <c r="E73" s="18">
        <f>IF(64&lt;=$F$5,C73-D73,"")</f>
        <v/>
      </c>
      <c r="F73" s="18">
        <f>IF(64&lt;=$F$5,IF(64=$F$5,0,F72-E73),"")</f>
        <v/>
      </c>
    </row>
    <row r="74">
      <c r="A74" s="13">
        <f>IF(65&lt;=$F$5,65,"")</f>
        <v/>
      </c>
      <c r="B74" s="14">
        <f>IF(65&lt;=$F$5,DATE(YEAR($C$7),MONTH($C$7)+64,DAY($C$7)),"")</f>
        <v/>
      </c>
      <c r="C74" s="15">
        <f>IF(65&lt;=$F$5,$F$4,"")</f>
        <v/>
      </c>
      <c r="D74" s="15">
        <f>IF(65&lt;=$F$5,ROUND(F73*$C$5/12,2),"")</f>
        <v/>
      </c>
      <c r="E74" s="15">
        <f>IF(65&lt;=$F$5,C74-D74,"")</f>
        <v/>
      </c>
      <c r="F74" s="15">
        <f>IF(65&lt;=$F$5,IF(65=$F$5,0,F73-E74),"")</f>
        <v/>
      </c>
    </row>
    <row r="75">
      <c r="A75" s="16">
        <f>IF(66&lt;=$F$5,66,"")</f>
        <v/>
      </c>
      <c r="B75" s="17">
        <f>IF(66&lt;=$F$5,DATE(YEAR($C$7),MONTH($C$7)+65,DAY($C$7)),"")</f>
        <v/>
      </c>
      <c r="C75" s="18">
        <f>IF(66&lt;=$F$5,$F$4,"")</f>
        <v/>
      </c>
      <c r="D75" s="18">
        <f>IF(66&lt;=$F$5,ROUND(F74*$C$5/12,2),"")</f>
        <v/>
      </c>
      <c r="E75" s="18">
        <f>IF(66&lt;=$F$5,C75-D75,"")</f>
        <v/>
      </c>
      <c r="F75" s="18">
        <f>IF(66&lt;=$F$5,IF(66=$F$5,0,F74-E75),"")</f>
        <v/>
      </c>
    </row>
    <row r="76">
      <c r="A76" s="13">
        <f>IF(67&lt;=$F$5,67,"")</f>
        <v/>
      </c>
      <c r="B76" s="14">
        <f>IF(67&lt;=$F$5,DATE(YEAR($C$7),MONTH($C$7)+66,DAY($C$7)),"")</f>
        <v/>
      </c>
      <c r="C76" s="15">
        <f>IF(67&lt;=$F$5,$F$4,"")</f>
        <v/>
      </c>
      <c r="D76" s="15">
        <f>IF(67&lt;=$F$5,ROUND(F75*$C$5/12,2),"")</f>
        <v/>
      </c>
      <c r="E76" s="15">
        <f>IF(67&lt;=$F$5,C76-D76,"")</f>
        <v/>
      </c>
      <c r="F76" s="15">
        <f>IF(67&lt;=$F$5,IF(67=$F$5,0,F75-E76),"")</f>
        <v/>
      </c>
    </row>
    <row r="77">
      <c r="A77" s="16">
        <f>IF(68&lt;=$F$5,68,"")</f>
        <v/>
      </c>
      <c r="B77" s="17">
        <f>IF(68&lt;=$F$5,DATE(YEAR($C$7),MONTH($C$7)+67,DAY($C$7)),"")</f>
        <v/>
      </c>
      <c r="C77" s="18">
        <f>IF(68&lt;=$F$5,$F$4,"")</f>
        <v/>
      </c>
      <c r="D77" s="18">
        <f>IF(68&lt;=$F$5,ROUND(F76*$C$5/12,2),"")</f>
        <v/>
      </c>
      <c r="E77" s="18">
        <f>IF(68&lt;=$F$5,C77-D77,"")</f>
        <v/>
      </c>
      <c r="F77" s="18">
        <f>IF(68&lt;=$F$5,IF(68=$F$5,0,F76-E77),"")</f>
        <v/>
      </c>
    </row>
    <row r="78">
      <c r="A78" s="13">
        <f>IF(69&lt;=$F$5,69,"")</f>
        <v/>
      </c>
      <c r="B78" s="14">
        <f>IF(69&lt;=$F$5,DATE(YEAR($C$7),MONTH($C$7)+68,DAY($C$7)),"")</f>
        <v/>
      </c>
      <c r="C78" s="15">
        <f>IF(69&lt;=$F$5,$F$4,"")</f>
        <v/>
      </c>
      <c r="D78" s="15">
        <f>IF(69&lt;=$F$5,ROUND(F77*$C$5/12,2),"")</f>
        <v/>
      </c>
      <c r="E78" s="15">
        <f>IF(69&lt;=$F$5,C78-D78,"")</f>
        <v/>
      </c>
      <c r="F78" s="15">
        <f>IF(69&lt;=$F$5,IF(69=$F$5,0,F77-E78),"")</f>
        <v/>
      </c>
    </row>
    <row r="79">
      <c r="A79" s="16">
        <f>IF(70&lt;=$F$5,70,"")</f>
        <v/>
      </c>
      <c r="B79" s="17">
        <f>IF(70&lt;=$F$5,DATE(YEAR($C$7),MONTH($C$7)+69,DAY($C$7)),"")</f>
        <v/>
      </c>
      <c r="C79" s="18">
        <f>IF(70&lt;=$F$5,$F$4,"")</f>
        <v/>
      </c>
      <c r="D79" s="18">
        <f>IF(70&lt;=$F$5,ROUND(F78*$C$5/12,2),"")</f>
        <v/>
      </c>
      <c r="E79" s="18">
        <f>IF(70&lt;=$F$5,C79-D79,"")</f>
        <v/>
      </c>
      <c r="F79" s="18">
        <f>IF(70&lt;=$F$5,IF(70=$F$5,0,F78-E79),"")</f>
        <v/>
      </c>
    </row>
    <row r="80">
      <c r="A80" s="13">
        <f>IF(71&lt;=$F$5,71,"")</f>
        <v/>
      </c>
      <c r="B80" s="14">
        <f>IF(71&lt;=$F$5,DATE(YEAR($C$7),MONTH($C$7)+70,DAY($C$7)),"")</f>
        <v/>
      </c>
      <c r="C80" s="15">
        <f>IF(71&lt;=$F$5,$F$4,"")</f>
        <v/>
      </c>
      <c r="D80" s="15">
        <f>IF(71&lt;=$F$5,ROUND(F79*$C$5/12,2),"")</f>
        <v/>
      </c>
      <c r="E80" s="15">
        <f>IF(71&lt;=$F$5,C80-D80,"")</f>
        <v/>
      </c>
      <c r="F80" s="15">
        <f>IF(71&lt;=$F$5,IF(71=$F$5,0,F79-E80),"")</f>
        <v/>
      </c>
    </row>
    <row r="81">
      <c r="A81" s="16">
        <f>IF(72&lt;=$F$5,72,"")</f>
        <v/>
      </c>
      <c r="B81" s="17">
        <f>IF(72&lt;=$F$5,DATE(YEAR($C$7),MONTH($C$7)+71,DAY($C$7)),"")</f>
        <v/>
      </c>
      <c r="C81" s="18">
        <f>IF(72&lt;=$F$5,$F$4,"")</f>
        <v/>
      </c>
      <c r="D81" s="18">
        <f>IF(72&lt;=$F$5,ROUND(F80*$C$5/12,2),"")</f>
        <v/>
      </c>
      <c r="E81" s="18">
        <f>IF(72&lt;=$F$5,C81-D81,"")</f>
        <v/>
      </c>
      <c r="F81" s="18">
        <f>IF(72&lt;=$F$5,IF(72=$F$5,0,F80-E81),"")</f>
        <v/>
      </c>
    </row>
    <row r="82">
      <c r="A82" s="13">
        <f>IF(73&lt;=$F$5,73,"")</f>
        <v/>
      </c>
      <c r="B82" s="14">
        <f>IF(73&lt;=$F$5,DATE(YEAR($C$7),MONTH($C$7)+72,DAY($C$7)),"")</f>
        <v/>
      </c>
      <c r="C82" s="15">
        <f>IF(73&lt;=$F$5,$F$4,"")</f>
        <v/>
      </c>
      <c r="D82" s="15">
        <f>IF(73&lt;=$F$5,ROUND(F81*$C$5/12,2),"")</f>
        <v/>
      </c>
      <c r="E82" s="15">
        <f>IF(73&lt;=$F$5,C82-D82,"")</f>
        <v/>
      </c>
      <c r="F82" s="15">
        <f>IF(73&lt;=$F$5,IF(73=$F$5,0,F81-E82),"")</f>
        <v/>
      </c>
    </row>
    <row r="83">
      <c r="A83" s="16">
        <f>IF(74&lt;=$F$5,74,"")</f>
        <v/>
      </c>
      <c r="B83" s="17">
        <f>IF(74&lt;=$F$5,DATE(YEAR($C$7),MONTH($C$7)+73,DAY($C$7)),"")</f>
        <v/>
      </c>
      <c r="C83" s="18">
        <f>IF(74&lt;=$F$5,$F$4,"")</f>
        <v/>
      </c>
      <c r="D83" s="18">
        <f>IF(74&lt;=$F$5,ROUND(F82*$C$5/12,2),"")</f>
        <v/>
      </c>
      <c r="E83" s="18">
        <f>IF(74&lt;=$F$5,C83-D83,"")</f>
        <v/>
      </c>
      <c r="F83" s="18">
        <f>IF(74&lt;=$F$5,IF(74=$F$5,0,F82-E83),"")</f>
        <v/>
      </c>
    </row>
    <row r="84">
      <c r="A84" s="13">
        <f>IF(75&lt;=$F$5,75,"")</f>
        <v/>
      </c>
      <c r="B84" s="14">
        <f>IF(75&lt;=$F$5,DATE(YEAR($C$7),MONTH($C$7)+74,DAY($C$7)),"")</f>
        <v/>
      </c>
      <c r="C84" s="15">
        <f>IF(75&lt;=$F$5,$F$4,"")</f>
        <v/>
      </c>
      <c r="D84" s="15">
        <f>IF(75&lt;=$F$5,ROUND(F83*$C$5/12,2),"")</f>
        <v/>
      </c>
      <c r="E84" s="15">
        <f>IF(75&lt;=$F$5,C84-D84,"")</f>
        <v/>
      </c>
      <c r="F84" s="15">
        <f>IF(75&lt;=$F$5,IF(75=$F$5,0,F83-E84),"")</f>
        <v/>
      </c>
    </row>
    <row r="85">
      <c r="A85" s="16">
        <f>IF(76&lt;=$F$5,76,"")</f>
        <v/>
      </c>
      <c r="B85" s="17">
        <f>IF(76&lt;=$F$5,DATE(YEAR($C$7),MONTH($C$7)+75,DAY($C$7)),"")</f>
        <v/>
      </c>
      <c r="C85" s="18">
        <f>IF(76&lt;=$F$5,$F$4,"")</f>
        <v/>
      </c>
      <c r="D85" s="18">
        <f>IF(76&lt;=$F$5,ROUND(F84*$C$5/12,2),"")</f>
        <v/>
      </c>
      <c r="E85" s="18">
        <f>IF(76&lt;=$F$5,C85-D85,"")</f>
        <v/>
      </c>
      <c r="F85" s="18">
        <f>IF(76&lt;=$F$5,IF(76=$F$5,0,F84-E85),"")</f>
        <v/>
      </c>
    </row>
    <row r="86">
      <c r="A86" s="13">
        <f>IF(77&lt;=$F$5,77,"")</f>
        <v/>
      </c>
      <c r="B86" s="14">
        <f>IF(77&lt;=$F$5,DATE(YEAR($C$7),MONTH($C$7)+76,DAY($C$7)),"")</f>
        <v/>
      </c>
      <c r="C86" s="15">
        <f>IF(77&lt;=$F$5,$F$4,"")</f>
        <v/>
      </c>
      <c r="D86" s="15">
        <f>IF(77&lt;=$F$5,ROUND(F85*$C$5/12,2),"")</f>
        <v/>
      </c>
      <c r="E86" s="15">
        <f>IF(77&lt;=$F$5,C86-D86,"")</f>
        <v/>
      </c>
      <c r="F86" s="15">
        <f>IF(77&lt;=$F$5,IF(77=$F$5,0,F85-E86),"")</f>
        <v/>
      </c>
    </row>
    <row r="87">
      <c r="A87" s="16">
        <f>IF(78&lt;=$F$5,78,"")</f>
        <v/>
      </c>
      <c r="B87" s="17">
        <f>IF(78&lt;=$F$5,DATE(YEAR($C$7),MONTH($C$7)+77,DAY($C$7)),"")</f>
        <v/>
      </c>
      <c r="C87" s="18">
        <f>IF(78&lt;=$F$5,$F$4,"")</f>
        <v/>
      </c>
      <c r="D87" s="18">
        <f>IF(78&lt;=$F$5,ROUND(F86*$C$5/12,2),"")</f>
        <v/>
      </c>
      <c r="E87" s="18">
        <f>IF(78&lt;=$F$5,C87-D87,"")</f>
        <v/>
      </c>
      <c r="F87" s="18">
        <f>IF(78&lt;=$F$5,IF(78=$F$5,0,F86-E87),"")</f>
        <v/>
      </c>
    </row>
    <row r="88">
      <c r="A88" s="13">
        <f>IF(79&lt;=$F$5,79,"")</f>
        <v/>
      </c>
      <c r="B88" s="14">
        <f>IF(79&lt;=$F$5,DATE(YEAR($C$7),MONTH($C$7)+78,DAY($C$7)),"")</f>
        <v/>
      </c>
      <c r="C88" s="15">
        <f>IF(79&lt;=$F$5,$F$4,"")</f>
        <v/>
      </c>
      <c r="D88" s="15">
        <f>IF(79&lt;=$F$5,ROUND(F87*$C$5/12,2),"")</f>
        <v/>
      </c>
      <c r="E88" s="15">
        <f>IF(79&lt;=$F$5,C88-D88,"")</f>
        <v/>
      </c>
      <c r="F88" s="15">
        <f>IF(79&lt;=$F$5,IF(79=$F$5,0,F87-E88),"")</f>
        <v/>
      </c>
    </row>
    <row r="89">
      <c r="A89" s="16">
        <f>IF(80&lt;=$F$5,80,"")</f>
        <v/>
      </c>
      <c r="B89" s="17">
        <f>IF(80&lt;=$F$5,DATE(YEAR($C$7),MONTH($C$7)+79,DAY($C$7)),"")</f>
        <v/>
      </c>
      <c r="C89" s="18">
        <f>IF(80&lt;=$F$5,$F$4,"")</f>
        <v/>
      </c>
      <c r="D89" s="18">
        <f>IF(80&lt;=$F$5,ROUND(F88*$C$5/12,2),"")</f>
        <v/>
      </c>
      <c r="E89" s="18">
        <f>IF(80&lt;=$F$5,C89-D89,"")</f>
        <v/>
      </c>
      <c r="F89" s="18">
        <f>IF(80&lt;=$F$5,IF(80=$F$5,0,F88-E89),"")</f>
        <v/>
      </c>
    </row>
    <row r="90">
      <c r="A90" s="13">
        <f>IF(81&lt;=$F$5,81,"")</f>
        <v/>
      </c>
      <c r="B90" s="14">
        <f>IF(81&lt;=$F$5,DATE(YEAR($C$7),MONTH($C$7)+80,DAY($C$7)),"")</f>
        <v/>
      </c>
      <c r="C90" s="15">
        <f>IF(81&lt;=$F$5,$F$4,"")</f>
        <v/>
      </c>
      <c r="D90" s="15">
        <f>IF(81&lt;=$F$5,ROUND(F89*$C$5/12,2),"")</f>
        <v/>
      </c>
      <c r="E90" s="15">
        <f>IF(81&lt;=$F$5,C90-D90,"")</f>
        <v/>
      </c>
      <c r="F90" s="15">
        <f>IF(81&lt;=$F$5,IF(81=$F$5,0,F89-E90),"")</f>
        <v/>
      </c>
    </row>
    <row r="91">
      <c r="A91" s="16">
        <f>IF(82&lt;=$F$5,82,"")</f>
        <v/>
      </c>
      <c r="B91" s="17">
        <f>IF(82&lt;=$F$5,DATE(YEAR($C$7),MONTH($C$7)+81,DAY($C$7)),"")</f>
        <v/>
      </c>
      <c r="C91" s="18">
        <f>IF(82&lt;=$F$5,$F$4,"")</f>
        <v/>
      </c>
      <c r="D91" s="18">
        <f>IF(82&lt;=$F$5,ROUND(F90*$C$5/12,2),"")</f>
        <v/>
      </c>
      <c r="E91" s="18">
        <f>IF(82&lt;=$F$5,C91-D91,"")</f>
        <v/>
      </c>
      <c r="F91" s="18">
        <f>IF(82&lt;=$F$5,IF(82=$F$5,0,F90-E91),"")</f>
        <v/>
      </c>
    </row>
    <row r="92">
      <c r="A92" s="13">
        <f>IF(83&lt;=$F$5,83,"")</f>
        <v/>
      </c>
      <c r="B92" s="14">
        <f>IF(83&lt;=$F$5,DATE(YEAR($C$7),MONTH($C$7)+82,DAY($C$7)),"")</f>
        <v/>
      </c>
      <c r="C92" s="15">
        <f>IF(83&lt;=$F$5,$F$4,"")</f>
        <v/>
      </c>
      <c r="D92" s="15">
        <f>IF(83&lt;=$F$5,ROUND(F91*$C$5/12,2),"")</f>
        <v/>
      </c>
      <c r="E92" s="15">
        <f>IF(83&lt;=$F$5,C92-D92,"")</f>
        <v/>
      </c>
      <c r="F92" s="15">
        <f>IF(83&lt;=$F$5,IF(83=$F$5,0,F91-E92),"")</f>
        <v/>
      </c>
    </row>
    <row r="93">
      <c r="A93" s="16">
        <f>IF(84&lt;=$F$5,84,"")</f>
        <v/>
      </c>
      <c r="B93" s="17">
        <f>IF(84&lt;=$F$5,DATE(YEAR($C$7),MONTH($C$7)+83,DAY($C$7)),"")</f>
        <v/>
      </c>
      <c r="C93" s="18">
        <f>IF(84&lt;=$F$5,$F$4,"")</f>
        <v/>
      </c>
      <c r="D93" s="18">
        <f>IF(84&lt;=$F$5,ROUND(F92*$C$5/12,2),"")</f>
        <v/>
      </c>
      <c r="E93" s="18">
        <f>IF(84&lt;=$F$5,C93-D93,"")</f>
        <v/>
      </c>
      <c r="F93" s="18">
        <f>IF(84&lt;=$F$5,IF(84=$F$5,0,F92-E93),"")</f>
        <v/>
      </c>
    </row>
    <row r="94">
      <c r="A94" s="13">
        <f>IF(85&lt;=$F$5,85,"")</f>
        <v/>
      </c>
      <c r="B94" s="14">
        <f>IF(85&lt;=$F$5,DATE(YEAR($C$7),MONTH($C$7)+84,DAY($C$7)),"")</f>
        <v/>
      </c>
      <c r="C94" s="15">
        <f>IF(85&lt;=$F$5,$F$4,"")</f>
        <v/>
      </c>
      <c r="D94" s="15">
        <f>IF(85&lt;=$F$5,ROUND(F93*$C$5/12,2),"")</f>
        <v/>
      </c>
      <c r="E94" s="15">
        <f>IF(85&lt;=$F$5,C94-D94,"")</f>
        <v/>
      </c>
      <c r="F94" s="15">
        <f>IF(85&lt;=$F$5,IF(85=$F$5,0,F93-E94),"")</f>
        <v/>
      </c>
    </row>
    <row r="95">
      <c r="A95" s="16">
        <f>IF(86&lt;=$F$5,86,"")</f>
        <v/>
      </c>
      <c r="B95" s="17">
        <f>IF(86&lt;=$F$5,DATE(YEAR($C$7),MONTH($C$7)+85,DAY($C$7)),"")</f>
        <v/>
      </c>
      <c r="C95" s="18">
        <f>IF(86&lt;=$F$5,$F$4,"")</f>
        <v/>
      </c>
      <c r="D95" s="18">
        <f>IF(86&lt;=$F$5,ROUND(F94*$C$5/12,2),"")</f>
        <v/>
      </c>
      <c r="E95" s="18">
        <f>IF(86&lt;=$F$5,C95-D95,"")</f>
        <v/>
      </c>
      <c r="F95" s="18">
        <f>IF(86&lt;=$F$5,IF(86=$F$5,0,F94-E95),"")</f>
        <v/>
      </c>
    </row>
    <row r="96">
      <c r="A96" s="13">
        <f>IF(87&lt;=$F$5,87,"")</f>
        <v/>
      </c>
      <c r="B96" s="14">
        <f>IF(87&lt;=$F$5,DATE(YEAR($C$7),MONTH($C$7)+86,DAY($C$7)),"")</f>
        <v/>
      </c>
      <c r="C96" s="15">
        <f>IF(87&lt;=$F$5,$F$4,"")</f>
        <v/>
      </c>
      <c r="D96" s="15">
        <f>IF(87&lt;=$F$5,ROUND(F95*$C$5/12,2),"")</f>
        <v/>
      </c>
      <c r="E96" s="15">
        <f>IF(87&lt;=$F$5,C96-D96,"")</f>
        <v/>
      </c>
      <c r="F96" s="15">
        <f>IF(87&lt;=$F$5,IF(87=$F$5,0,F95-E96),"")</f>
        <v/>
      </c>
    </row>
    <row r="97">
      <c r="A97" s="16">
        <f>IF(88&lt;=$F$5,88,"")</f>
        <v/>
      </c>
      <c r="B97" s="17">
        <f>IF(88&lt;=$F$5,DATE(YEAR($C$7),MONTH($C$7)+87,DAY($C$7)),"")</f>
        <v/>
      </c>
      <c r="C97" s="18">
        <f>IF(88&lt;=$F$5,$F$4,"")</f>
        <v/>
      </c>
      <c r="D97" s="18">
        <f>IF(88&lt;=$F$5,ROUND(F96*$C$5/12,2),"")</f>
        <v/>
      </c>
      <c r="E97" s="18">
        <f>IF(88&lt;=$F$5,C97-D97,"")</f>
        <v/>
      </c>
      <c r="F97" s="18">
        <f>IF(88&lt;=$F$5,IF(88=$F$5,0,F96-E97),"")</f>
        <v/>
      </c>
    </row>
    <row r="98">
      <c r="A98" s="13">
        <f>IF(89&lt;=$F$5,89,"")</f>
        <v/>
      </c>
      <c r="B98" s="14">
        <f>IF(89&lt;=$F$5,DATE(YEAR($C$7),MONTH($C$7)+88,DAY($C$7)),"")</f>
        <v/>
      </c>
      <c r="C98" s="15">
        <f>IF(89&lt;=$F$5,$F$4,"")</f>
        <v/>
      </c>
      <c r="D98" s="15">
        <f>IF(89&lt;=$F$5,ROUND(F97*$C$5/12,2),"")</f>
        <v/>
      </c>
      <c r="E98" s="15">
        <f>IF(89&lt;=$F$5,C98-D98,"")</f>
        <v/>
      </c>
      <c r="F98" s="15">
        <f>IF(89&lt;=$F$5,IF(89=$F$5,0,F97-E98),"")</f>
        <v/>
      </c>
    </row>
    <row r="99">
      <c r="A99" s="16">
        <f>IF(90&lt;=$F$5,90,"")</f>
        <v/>
      </c>
      <c r="B99" s="17">
        <f>IF(90&lt;=$F$5,DATE(YEAR($C$7),MONTH($C$7)+89,DAY($C$7)),"")</f>
        <v/>
      </c>
      <c r="C99" s="18">
        <f>IF(90&lt;=$F$5,$F$4,"")</f>
        <v/>
      </c>
      <c r="D99" s="18">
        <f>IF(90&lt;=$F$5,ROUND(F98*$C$5/12,2),"")</f>
        <v/>
      </c>
      <c r="E99" s="18">
        <f>IF(90&lt;=$F$5,C99-D99,"")</f>
        <v/>
      </c>
      <c r="F99" s="18">
        <f>IF(90&lt;=$F$5,IF(90=$F$5,0,F98-E99),"")</f>
        <v/>
      </c>
    </row>
    <row r="100">
      <c r="A100" s="13">
        <f>IF(91&lt;=$F$5,91,"")</f>
        <v/>
      </c>
      <c r="B100" s="14">
        <f>IF(91&lt;=$F$5,DATE(YEAR($C$7),MONTH($C$7)+90,DAY($C$7)),"")</f>
        <v/>
      </c>
      <c r="C100" s="15">
        <f>IF(91&lt;=$F$5,$F$4,"")</f>
        <v/>
      </c>
      <c r="D100" s="15">
        <f>IF(91&lt;=$F$5,ROUND(F99*$C$5/12,2),"")</f>
        <v/>
      </c>
      <c r="E100" s="15">
        <f>IF(91&lt;=$F$5,C100-D100,"")</f>
        <v/>
      </c>
      <c r="F100" s="15">
        <f>IF(91&lt;=$F$5,IF(91=$F$5,0,F99-E100),"")</f>
        <v/>
      </c>
    </row>
    <row r="101">
      <c r="A101" s="16">
        <f>IF(92&lt;=$F$5,92,"")</f>
        <v/>
      </c>
      <c r="B101" s="17">
        <f>IF(92&lt;=$F$5,DATE(YEAR($C$7),MONTH($C$7)+91,DAY($C$7)),"")</f>
        <v/>
      </c>
      <c r="C101" s="18">
        <f>IF(92&lt;=$F$5,$F$4,"")</f>
        <v/>
      </c>
      <c r="D101" s="18">
        <f>IF(92&lt;=$F$5,ROUND(F100*$C$5/12,2),"")</f>
        <v/>
      </c>
      <c r="E101" s="18">
        <f>IF(92&lt;=$F$5,C101-D101,"")</f>
        <v/>
      </c>
      <c r="F101" s="18">
        <f>IF(92&lt;=$F$5,IF(92=$F$5,0,F100-E101),"")</f>
        <v/>
      </c>
    </row>
    <row r="102">
      <c r="A102" s="13">
        <f>IF(93&lt;=$F$5,93,"")</f>
        <v/>
      </c>
      <c r="B102" s="14">
        <f>IF(93&lt;=$F$5,DATE(YEAR($C$7),MONTH($C$7)+92,DAY($C$7)),"")</f>
        <v/>
      </c>
      <c r="C102" s="15">
        <f>IF(93&lt;=$F$5,$F$4,"")</f>
        <v/>
      </c>
      <c r="D102" s="15">
        <f>IF(93&lt;=$F$5,ROUND(F101*$C$5/12,2),"")</f>
        <v/>
      </c>
      <c r="E102" s="15">
        <f>IF(93&lt;=$F$5,C102-D102,"")</f>
        <v/>
      </c>
      <c r="F102" s="15">
        <f>IF(93&lt;=$F$5,IF(93=$F$5,0,F101-E102),"")</f>
        <v/>
      </c>
    </row>
    <row r="103">
      <c r="A103" s="16">
        <f>IF(94&lt;=$F$5,94,"")</f>
        <v/>
      </c>
      <c r="B103" s="17">
        <f>IF(94&lt;=$F$5,DATE(YEAR($C$7),MONTH($C$7)+93,DAY($C$7)),"")</f>
        <v/>
      </c>
      <c r="C103" s="18">
        <f>IF(94&lt;=$F$5,$F$4,"")</f>
        <v/>
      </c>
      <c r="D103" s="18">
        <f>IF(94&lt;=$F$5,ROUND(F102*$C$5/12,2),"")</f>
        <v/>
      </c>
      <c r="E103" s="18">
        <f>IF(94&lt;=$F$5,C103-D103,"")</f>
        <v/>
      </c>
      <c r="F103" s="18">
        <f>IF(94&lt;=$F$5,IF(94=$F$5,0,F102-E103),"")</f>
        <v/>
      </c>
    </row>
    <row r="104">
      <c r="A104" s="13">
        <f>IF(95&lt;=$F$5,95,"")</f>
        <v/>
      </c>
      <c r="B104" s="14">
        <f>IF(95&lt;=$F$5,DATE(YEAR($C$7),MONTH($C$7)+94,DAY($C$7)),"")</f>
        <v/>
      </c>
      <c r="C104" s="15">
        <f>IF(95&lt;=$F$5,$F$4,"")</f>
        <v/>
      </c>
      <c r="D104" s="15">
        <f>IF(95&lt;=$F$5,ROUND(F103*$C$5/12,2),"")</f>
        <v/>
      </c>
      <c r="E104" s="15">
        <f>IF(95&lt;=$F$5,C104-D104,"")</f>
        <v/>
      </c>
      <c r="F104" s="15">
        <f>IF(95&lt;=$F$5,IF(95=$F$5,0,F103-E104),"")</f>
        <v/>
      </c>
    </row>
    <row r="105">
      <c r="A105" s="16">
        <f>IF(96&lt;=$F$5,96,"")</f>
        <v/>
      </c>
      <c r="B105" s="17">
        <f>IF(96&lt;=$F$5,DATE(YEAR($C$7),MONTH($C$7)+95,DAY($C$7)),"")</f>
        <v/>
      </c>
      <c r="C105" s="18">
        <f>IF(96&lt;=$F$5,$F$4,"")</f>
        <v/>
      </c>
      <c r="D105" s="18">
        <f>IF(96&lt;=$F$5,ROUND(F104*$C$5/12,2),"")</f>
        <v/>
      </c>
      <c r="E105" s="18">
        <f>IF(96&lt;=$F$5,C105-D105,"")</f>
        <v/>
      </c>
      <c r="F105" s="18">
        <f>IF(96&lt;=$F$5,IF(96=$F$5,0,F104-E105),"")</f>
        <v/>
      </c>
    </row>
    <row r="106">
      <c r="A106" s="13">
        <f>IF(97&lt;=$F$5,97,"")</f>
        <v/>
      </c>
      <c r="B106" s="14">
        <f>IF(97&lt;=$F$5,DATE(YEAR($C$7),MONTH($C$7)+96,DAY($C$7)),"")</f>
        <v/>
      </c>
      <c r="C106" s="15">
        <f>IF(97&lt;=$F$5,$F$4,"")</f>
        <v/>
      </c>
      <c r="D106" s="15">
        <f>IF(97&lt;=$F$5,ROUND(F105*$C$5/12,2),"")</f>
        <v/>
      </c>
      <c r="E106" s="15">
        <f>IF(97&lt;=$F$5,C106-D106,"")</f>
        <v/>
      </c>
      <c r="F106" s="15">
        <f>IF(97&lt;=$F$5,IF(97=$F$5,0,F105-E106),"")</f>
        <v/>
      </c>
    </row>
    <row r="107">
      <c r="A107" s="16">
        <f>IF(98&lt;=$F$5,98,"")</f>
        <v/>
      </c>
      <c r="B107" s="17">
        <f>IF(98&lt;=$F$5,DATE(YEAR($C$7),MONTH($C$7)+97,DAY($C$7)),"")</f>
        <v/>
      </c>
      <c r="C107" s="18">
        <f>IF(98&lt;=$F$5,$F$4,"")</f>
        <v/>
      </c>
      <c r="D107" s="18">
        <f>IF(98&lt;=$F$5,ROUND(F106*$C$5/12,2),"")</f>
        <v/>
      </c>
      <c r="E107" s="18">
        <f>IF(98&lt;=$F$5,C107-D107,"")</f>
        <v/>
      </c>
      <c r="F107" s="18">
        <f>IF(98&lt;=$F$5,IF(98=$F$5,0,F106-E107),"")</f>
        <v/>
      </c>
    </row>
    <row r="108">
      <c r="A108" s="13">
        <f>IF(99&lt;=$F$5,99,"")</f>
        <v/>
      </c>
      <c r="B108" s="14">
        <f>IF(99&lt;=$F$5,DATE(YEAR($C$7),MONTH($C$7)+98,DAY($C$7)),"")</f>
        <v/>
      </c>
      <c r="C108" s="15">
        <f>IF(99&lt;=$F$5,$F$4,"")</f>
        <v/>
      </c>
      <c r="D108" s="15">
        <f>IF(99&lt;=$F$5,ROUND(F107*$C$5/12,2),"")</f>
        <v/>
      </c>
      <c r="E108" s="15">
        <f>IF(99&lt;=$F$5,C108-D108,"")</f>
        <v/>
      </c>
      <c r="F108" s="15">
        <f>IF(99&lt;=$F$5,IF(99=$F$5,0,F107-E108),"")</f>
        <v/>
      </c>
    </row>
    <row r="109">
      <c r="A109" s="16">
        <f>IF(100&lt;=$F$5,100,"")</f>
        <v/>
      </c>
      <c r="B109" s="17">
        <f>IF(100&lt;=$F$5,DATE(YEAR($C$7),MONTH($C$7)+99,DAY($C$7)),"")</f>
        <v/>
      </c>
      <c r="C109" s="18">
        <f>IF(100&lt;=$F$5,$F$4,"")</f>
        <v/>
      </c>
      <c r="D109" s="18">
        <f>IF(100&lt;=$F$5,ROUND(F108*$C$5/12,2),"")</f>
        <v/>
      </c>
      <c r="E109" s="18">
        <f>IF(100&lt;=$F$5,C109-D109,"")</f>
        <v/>
      </c>
      <c r="F109" s="18">
        <f>IF(100&lt;=$F$5,IF(100=$F$5,0,F108-E109),"")</f>
        <v/>
      </c>
    </row>
    <row r="110">
      <c r="A110" s="13">
        <f>IF(101&lt;=$F$5,101,"")</f>
        <v/>
      </c>
      <c r="B110" s="14">
        <f>IF(101&lt;=$F$5,DATE(YEAR($C$7),MONTH($C$7)+100,DAY($C$7)),"")</f>
        <v/>
      </c>
      <c r="C110" s="15">
        <f>IF(101&lt;=$F$5,$F$4,"")</f>
        <v/>
      </c>
      <c r="D110" s="15">
        <f>IF(101&lt;=$F$5,ROUND(F109*$C$5/12,2),"")</f>
        <v/>
      </c>
      <c r="E110" s="15">
        <f>IF(101&lt;=$F$5,C110-D110,"")</f>
        <v/>
      </c>
      <c r="F110" s="15">
        <f>IF(101&lt;=$F$5,IF(101=$F$5,0,F109-E110),"")</f>
        <v/>
      </c>
    </row>
    <row r="111">
      <c r="A111" s="16">
        <f>IF(102&lt;=$F$5,102,"")</f>
        <v/>
      </c>
      <c r="B111" s="17">
        <f>IF(102&lt;=$F$5,DATE(YEAR($C$7),MONTH($C$7)+101,DAY($C$7)),"")</f>
        <v/>
      </c>
      <c r="C111" s="18">
        <f>IF(102&lt;=$F$5,$F$4,"")</f>
        <v/>
      </c>
      <c r="D111" s="18">
        <f>IF(102&lt;=$F$5,ROUND(F110*$C$5/12,2),"")</f>
        <v/>
      </c>
      <c r="E111" s="18">
        <f>IF(102&lt;=$F$5,C111-D111,"")</f>
        <v/>
      </c>
      <c r="F111" s="18">
        <f>IF(102&lt;=$F$5,IF(102=$F$5,0,F110-E111),"")</f>
        <v/>
      </c>
    </row>
    <row r="112">
      <c r="A112" s="13">
        <f>IF(103&lt;=$F$5,103,"")</f>
        <v/>
      </c>
      <c r="B112" s="14">
        <f>IF(103&lt;=$F$5,DATE(YEAR($C$7),MONTH($C$7)+102,DAY($C$7)),"")</f>
        <v/>
      </c>
      <c r="C112" s="15">
        <f>IF(103&lt;=$F$5,$F$4,"")</f>
        <v/>
      </c>
      <c r="D112" s="15">
        <f>IF(103&lt;=$F$5,ROUND(F111*$C$5/12,2),"")</f>
        <v/>
      </c>
      <c r="E112" s="15">
        <f>IF(103&lt;=$F$5,C112-D112,"")</f>
        <v/>
      </c>
      <c r="F112" s="15">
        <f>IF(103&lt;=$F$5,IF(103=$F$5,0,F111-E112),"")</f>
        <v/>
      </c>
    </row>
    <row r="113">
      <c r="A113" s="16">
        <f>IF(104&lt;=$F$5,104,"")</f>
        <v/>
      </c>
      <c r="B113" s="17">
        <f>IF(104&lt;=$F$5,DATE(YEAR($C$7),MONTH($C$7)+103,DAY($C$7)),"")</f>
        <v/>
      </c>
      <c r="C113" s="18">
        <f>IF(104&lt;=$F$5,$F$4,"")</f>
        <v/>
      </c>
      <c r="D113" s="18">
        <f>IF(104&lt;=$F$5,ROUND(F112*$C$5/12,2),"")</f>
        <v/>
      </c>
      <c r="E113" s="18">
        <f>IF(104&lt;=$F$5,C113-D113,"")</f>
        <v/>
      </c>
      <c r="F113" s="18">
        <f>IF(104&lt;=$F$5,IF(104=$F$5,0,F112-E113),"")</f>
        <v/>
      </c>
    </row>
    <row r="114">
      <c r="A114" s="13">
        <f>IF(105&lt;=$F$5,105,"")</f>
        <v/>
      </c>
      <c r="B114" s="14">
        <f>IF(105&lt;=$F$5,DATE(YEAR($C$7),MONTH($C$7)+104,DAY($C$7)),"")</f>
        <v/>
      </c>
      <c r="C114" s="15">
        <f>IF(105&lt;=$F$5,$F$4,"")</f>
        <v/>
      </c>
      <c r="D114" s="15">
        <f>IF(105&lt;=$F$5,ROUND(F113*$C$5/12,2),"")</f>
        <v/>
      </c>
      <c r="E114" s="15">
        <f>IF(105&lt;=$F$5,C114-D114,"")</f>
        <v/>
      </c>
      <c r="F114" s="15">
        <f>IF(105&lt;=$F$5,IF(105=$F$5,0,F113-E114),"")</f>
        <v/>
      </c>
    </row>
    <row r="115">
      <c r="A115" s="16">
        <f>IF(106&lt;=$F$5,106,"")</f>
        <v/>
      </c>
      <c r="B115" s="17">
        <f>IF(106&lt;=$F$5,DATE(YEAR($C$7),MONTH($C$7)+105,DAY($C$7)),"")</f>
        <v/>
      </c>
      <c r="C115" s="18">
        <f>IF(106&lt;=$F$5,$F$4,"")</f>
        <v/>
      </c>
      <c r="D115" s="18">
        <f>IF(106&lt;=$F$5,ROUND(F114*$C$5/12,2),"")</f>
        <v/>
      </c>
      <c r="E115" s="18">
        <f>IF(106&lt;=$F$5,C115-D115,"")</f>
        <v/>
      </c>
      <c r="F115" s="18">
        <f>IF(106&lt;=$F$5,IF(106=$F$5,0,F114-E115),"")</f>
        <v/>
      </c>
    </row>
    <row r="116">
      <c r="A116" s="13">
        <f>IF(107&lt;=$F$5,107,"")</f>
        <v/>
      </c>
      <c r="B116" s="14">
        <f>IF(107&lt;=$F$5,DATE(YEAR($C$7),MONTH($C$7)+106,DAY($C$7)),"")</f>
        <v/>
      </c>
      <c r="C116" s="15">
        <f>IF(107&lt;=$F$5,$F$4,"")</f>
        <v/>
      </c>
      <c r="D116" s="15">
        <f>IF(107&lt;=$F$5,ROUND(F115*$C$5/12,2),"")</f>
        <v/>
      </c>
      <c r="E116" s="15">
        <f>IF(107&lt;=$F$5,C116-D116,"")</f>
        <v/>
      </c>
      <c r="F116" s="15">
        <f>IF(107&lt;=$F$5,IF(107=$F$5,0,F115-E116),"")</f>
        <v/>
      </c>
    </row>
    <row r="117">
      <c r="A117" s="16">
        <f>IF(108&lt;=$F$5,108,"")</f>
        <v/>
      </c>
      <c r="B117" s="17">
        <f>IF(108&lt;=$F$5,DATE(YEAR($C$7),MONTH($C$7)+107,DAY($C$7)),"")</f>
        <v/>
      </c>
      <c r="C117" s="18">
        <f>IF(108&lt;=$F$5,$F$4,"")</f>
        <v/>
      </c>
      <c r="D117" s="18">
        <f>IF(108&lt;=$F$5,ROUND(F116*$C$5/12,2),"")</f>
        <v/>
      </c>
      <c r="E117" s="18">
        <f>IF(108&lt;=$F$5,C117-D117,"")</f>
        <v/>
      </c>
      <c r="F117" s="18">
        <f>IF(108&lt;=$F$5,IF(108=$F$5,0,F116-E117),"")</f>
        <v/>
      </c>
    </row>
    <row r="118">
      <c r="A118" s="13">
        <f>IF(109&lt;=$F$5,109,"")</f>
        <v/>
      </c>
      <c r="B118" s="14">
        <f>IF(109&lt;=$F$5,DATE(YEAR($C$7),MONTH($C$7)+108,DAY($C$7)),"")</f>
        <v/>
      </c>
      <c r="C118" s="15">
        <f>IF(109&lt;=$F$5,$F$4,"")</f>
        <v/>
      </c>
      <c r="D118" s="15">
        <f>IF(109&lt;=$F$5,ROUND(F117*$C$5/12,2),"")</f>
        <v/>
      </c>
      <c r="E118" s="15">
        <f>IF(109&lt;=$F$5,C118-D118,"")</f>
        <v/>
      </c>
      <c r="F118" s="15">
        <f>IF(109&lt;=$F$5,IF(109=$F$5,0,F117-E118),"")</f>
        <v/>
      </c>
    </row>
    <row r="119">
      <c r="A119" s="16">
        <f>IF(110&lt;=$F$5,110,"")</f>
        <v/>
      </c>
      <c r="B119" s="17">
        <f>IF(110&lt;=$F$5,DATE(YEAR($C$7),MONTH($C$7)+109,DAY($C$7)),"")</f>
        <v/>
      </c>
      <c r="C119" s="18">
        <f>IF(110&lt;=$F$5,$F$4,"")</f>
        <v/>
      </c>
      <c r="D119" s="18">
        <f>IF(110&lt;=$F$5,ROUND(F118*$C$5/12,2),"")</f>
        <v/>
      </c>
      <c r="E119" s="18">
        <f>IF(110&lt;=$F$5,C119-D119,"")</f>
        <v/>
      </c>
      <c r="F119" s="18">
        <f>IF(110&lt;=$F$5,IF(110=$F$5,0,F118-E119),"")</f>
        <v/>
      </c>
    </row>
    <row r="120">
      <c r="A120" s="13">
        <f>IF(111&lt;=$F$5,111,"")</f>
        <v/>
      </c>
      <c r="B120" s="14">
        <f>IF(111&lt;=$F$5,DATE(YEAR($C$7),MONTH($C$7)+110,DAY($C$7)),"")</f>
        <v/>
      </c>
      <c r="C120" s="15">
        <f>IF(111&lt;=$F$5,$F$4,"")</f>
        <v/>
      </c>
      <c r="D120" s="15">
        <f>IF(111&lt;=$F$5,ROUND(F119*$C$5/12,2),"")</f>
        <v/>
      </c>
      <c r="E120" s="15">
        <f>IF(111&lt;=$F$5,C120-D120,"")</f>
        <v/>
      </c>
      <c r="F120" s="15">
        <f>IF(111&lt;=$F$5,IF(111=$F$5,0,F119-E120),"")</f>
        <v/>
      </c>
    </row>
    <row r="121">
      <c r="A121" s="16">
        <f>IF(112&lt;=$F$5,112,"")</f>
        <v/>
      </c>
      <c r="B121" s="17">
        <f>IF(112&lt;=$F$5,DATE(YEAR($C$7),MONTH($C$7)+111,DAY($C$7)),"")</f>
        <v/>
      </c>
      <c r="C121" s="18">
        <f>IF(112&lt;=$F$5,$F$4,"")</f>
        <v/>
      </c>
      <c r="D121" s="18">
        <f>IF(112&lt;=$F$5,ROUND(F120*$C$5/12,2),"")</f>
        <v/>
      </c>
      <c r="E121" s="18">
        <f>IF(112&lt;=$F$5,C121-D121,"")</f>
        <v/>
      </c>
      <c r="F121" s="18">
        <f>IF(112&lt;=$F$5,IF(112=$F$5,0,F120-E121),"")</f>
        <v/>
      </c>
    </row>
    <row r="122">
      <c r="A122" s="13">
        <f>IF(113&lt;=$F$5,113,"")</f>
        <v/>
      </c>
      <c r="B122" s="14">
        <f>IF(113&lt;=$F$5,DATE(YEAR($C$7),MONTH($C$7)+112,DAY($C$7)),"")</f>
        <v/>
      </c>
      <c r="C122" s="15">
        <f>IF(113&lt;=$F$5,$F$4,"")</f>
        <v/>
      </c>
      <c r="D122" s="15">
        <f>IF(113&lt;=$F$5,ROUND(F121*$C$5/12,2),"")</f>
        <v/>
      </c>
      <c r="E122" s="15">
        <f>IF(113&lt;=$F$5,C122-D122,"")</f>
        <v/>
      </c>
      <c r="F122" s="15">
        <f>IF(113&lt;=$F$5,IF(113=$F$5,0,F121-E122),"")</f>
        <v/>
      </c>
    </row>
    <row r="123">
      <c r="A123" s="16">
        <f>IF(114&lt;=$F$5,114,"")</f>
        <v/>
      </c>
      <c r="B123" s="17">
        <f>IF(114&lt;=$F$5,DATE(YEAR($C$7),MONTH($C$7)+113,DAY($C$7)),"")</f>
        <v/>
      </c>
      <c r="C123" s="18">
        <f>IF(114&lt;=$F$5,$F$4,"")</f>
        <v/>
      </c>
      <c r="D123" s="18">
        <f>IF(114&lt;=$F$5,ROUND(F122*$C$5/12,2),"")</f>
        <v/>
      </c>
      <c r="E123" s="18">
        <f>IF(114&lt;=$F$5,C123-D123,"")</f>
        <v/>
      </c>
      <c r="F123" s="18">
        <f>IF(114&lt;=$F$5,IF(114=$F$5,0,F122-E123),"")</f>
        <v/>
      </c>
    </row>
    <row r="124">
      <c r="A124" s="13">
        <f>IF(115&lt;=$F$5,115,"")</f>
        <v/>
      </c>
      <c r="B124" s="14">
        <f>IF(115&lt;=$F$5,DATE(YEAR($C$7),MONTH($C$7)+114,DAY($C$7)),"")</f>
        <v/>
      </c>
      <c r="C124" s="15">
        <f>IF(115&lt;=$F$5,$F$4,"")</f>
        <v/>
      </c>
      <c r="D124" s="15">
        <f>IF(115&lt;=$F$5,ROUND(F123*$C$5/12,2),"")</f>
        <v/>
      </c>
      <c r="E124" s="15">
        <f>IF(115&lt;=$F$5,C124-D124,"")</f>
        <v/>
      </c>
      <c r="F124" s="15">
        <f>IF(115&lt;=$F$5,IF(115=$F$5,0,F123-E124),"")</f>
        <v/>
      </c>
    </row>
    <row r="125">
      <c r="A125" s="16">
        <f>IF(116&lt;=$F$5,116,"")</f>
        <v/>
      </c>
      <c r="B125" s="17">
        <f>IF(116&lt;=$F$5,DATE(YEAR($C$7),MONTH($C$7)+115,DAY($C$7)),"")</f>
        <v/>
      </c>
      <c r="C125" s="18">
        <f>IF(116&lt;=$F$5,$F$4,"")</f>
        <v/>
      </c>
      <c r="D125" s="18">
        <f>IF(116&lt;=$F$5,ROUND(F124*$C$5/12,2),"")</f>
        <v/>
      </c>
      <c r="E125" s="18">
        <f>IF(116&lt;=$F$5,C125-D125,"")</f>
        <v/>
      </c>
      <c r="F125" s="18">
        <f>IF(116&lt;=$F$5,IF(116=$F$5,0,F124-E125),"")</f>
        <v/>
      </c>
    </row>
    <row r="126">
      <c r="A126" s="13">
        <f>IF(117&lt;=$F$5,117,"")</f>
        <v/>
      </c>
      <c r="B126" s="14">
        <f>IF(117&lt;=$F$5,DATE(YEAR($C$7),MONTH($C$7)+116,DAY($C$7)),"")</f>
        <v/>
      </c>
      <c r="C126" s="15">
        <f>IF(117&lt;=$F$5,$F$4,"")</f>
        <v/>
      </c>
      <c r="D126" s="15">
        <f>IF(117&lt;=$F$5,ROUND(F125*$C$5/12,2),"")</f>
        <v/>
      </c>
      <c r="E126" s="15">
        <f>IF(117&lt;=$F$5,C126-D126,"")</f>
        <v/>
      </c>
      <c r="F126" s="15">
        <f>IF(117&lt;=$F$5,IF(117=$F$5,0,F125-E126),"")</f>
        <v/>
      </c>
    </row>
    <row r="127">
      <c r="A127" s="16">
        <f>IF(118&lt;=$F$5,118,"")</f>
        <v/>
      </c>
      <c r="B127" s="17">
        <f>IF(118&lt;=$F$5,DATE(YEAR($C$7),MONTH($C$7)+117,DAY($C$7)),"")</f>
        <v/>
      </c>
      <c r="C127" s="18">
        <f>IF(118&lt;=$F$5,$F$4,"")</f>
        <v/>
      </c>
      <c r="D127" s="18">
        <f>IF(118&lt;=$F$5,ROUND(F126*$C$5/12,2),"")</f>
        <v/>
      </c>
      <c r="E127" s="18">
        <f>IF(118&lt;=$F$5,C127-D127,"")</f>
        <v/>
      </c>
      <c r="F127" s="18">
        <f>IF(118&lt;=$F$5,IF(118=$F$5,0,F126-E127),"")</f>
        <v/>
      </c>
    </row>
    <row r="128">
      <c r="A128" s="13">
        <f>IF(119&lt;=$F$5,119,"")</f>
        <v/>
      </c>
      <c r="B128" s="14">
        <f>IF(119&lt;=$F$5,DATE(YEAR($C$7),MONTH($C$7)+118,DAY($C$7)),"")</f>
        <v/>
      </c>
      <c r="C128" s="15">
        <f>IF(119&lt;=$F$5,$F$4,"")</f>
        <v/>
      </c>
      <c r="D128" s="15">
        <f>IF(119&lt;=$F$5,ROUND(F127*$C$5/12,2),"")</f>
        <v/>
      </c>
      <c r="E128" s="15">
        <f>IF(119&lt;=$F$5,C128-D128,"")</f>
        <v/>
      </c>
      <c r="F128" s="15">
        <f>IF(119&lt;=$F$5,IF(119=$F$5,0,F127-E128),"")</f>
        <v/>
      </c>
    </row>
    <row r="129">
      <c r="A129" s="16">
        <f>IF(120&lt;=$F$5,120,"")</f>
        <v/>
      </c>
      <c r="B129" s="17">
        <f>IF(120&lt;=$F$5,DATE(YEAR($C$7),MONTH($C$7)+119,DAY($C$7)),"")</f>
        <v/>
      </c>
      <c r="C129" s="18">
        <f>IF(120&lt;=$F$5,$F$4,"")</f>
        <v/>
      </c>
      <c r="D129" s="18">
        <f>IF(120&lt;=$F$5,ROUND(F128*$C$5/12,2),"")</f>
        <v/>
      </c>
      <c r="E129" s="18">
        <f>IF(120&lt;=$F$5,C129-D129,"")</f>
        <v/>
      </c>
      <c r="F129" s="18">
        <f>IF(120&lt;=$F$5,IF(120=$F$5,0,F128-E129),"")</f>
        <v/>
      </c>
    </row>
    <row r="130">
      <c r="A130" s="13">
        <f>IF(121&lt;=$F$5,121,"")</f>
        <v/>
      </c>
      <c r="B130" s="14">
        <f>IF(121&lt;=$F$5,DATE(YEAR($C$7),MONTH($C$7)+120,DAY($C$7)),"")</f>
        <v/>
      </c>
      <c r="C130" s="15">
        <f>IF(121&lt;=$F$5,$F$4,"")</f>
        <v/>
      </c>
      <c r="D130" s="15">
        <f>IF(121&lt;=$F$5,ROUND(F129*$C$5/12,2),"")</f>
        <v/>
      </c>
      <c r="E130" s="15">
        <f>IF(121&lt;=$F$5,C130-D130,"")</f>
        <v/>
      </c>
      <c r="F130" s="15">
        <f>IF(121&lt;=$F$5,IF(121=$F$5,0,F129-E130),"")</f>
        <v/>
      </c>
    </row>
    <row r="131">
      <c r="A131" s="16">
        <f>IF(122&lt;=$F$5,122,"")</f>
        <v/>
      </c>
      <c r="B131" s="17">
        <f>IF(122&lt;=$F$5,DATE(YEAR($C$7),MONTH($C$7)+121,DAY($C$7)),"")</f>
        <v/>
      </c>
      <c r="C131" s="18">
        <f>IF(122&lt;=$F$5,$F$4,"")</f>
        <v/>
      </c>
      <c r="D131" s="18">
        <f>IF(122&lt;=$F$5,ROUND(F130*$C$5/12,2),"")</f>
        <v/>
      </c>
      <c r="E131" s="18">
        <f>IF(122&lt;=$F$5,C131-D131,"")</f>
        <v/>
      </c>
      <c r="F131" s="18">
        <f>IF(122&lt;=$F$5,IF(122=$F$5,0,F130-E131),"")</f>
        <v/>
      </c>
    </row>
    <row r="132">
      <c r="A132" s="13">
        <f>IF(123&lt;=$F$5,123,"")</f>
        <v/>
      </c>
      <c r="B132" s="14">
        <f>IF(123&lt;=$F$5,DATE(YEAR($C$7),MONTH($C$7)+122,DAY($C$7)),"")</f>
        <v/>
      </c>
      <c r="C132" s="15">
        <f>IF(123&lt;=$F$5,$F$4,"")</f>
        <v/>
      </c>
      <c r="D132" s="15">
        <f>IF(123&lt;=$F$5,ROUND(F131*$C$5/12,2),"")</f>
        <v/>
      </c>
      <c r="E132" s="15">
        <f>IF(123&lt;=$F$5,C132-D132,"")</f>
        <v/>
      </c>
      <c r="F132" s="15">
        <f>IF(123&lt;=$F$5,IF(123=$F$5,0,F131-E132),"")</f>
        <v/>
      </c>
    </row>
    <row r="133">
      <c r="A133" s="16">
        <f>IF(124&lt;=$F$5,124,"")</f>
        <v/>
      </c>
      <c r="B133" s="17">
        <f>IF(124&lt;=$F$5,DATE(YEAR($C$7),MONTH($C$7)+123,DAY($C$7)),"")</f>
        <v/>
      </c>
      <c r="C133" s="18">
        <f>IF(124&lt;=$F$5,$F$4,"")</f>
        <v/>
      </c>
      <c r="D133" s="18">
        <f>IF(124&lt;=$F$5,ROUND(F132*$C$5/12,2),"")</f>
        <v/>
      </c>
      <c r="E133" s="18">
        <f>IF(124&lt;=$F$5,C133-D133,"")</f>
        <v/>
      </c>
      <c r="F133" s="18">
        <f>IF(124&lt;=$F$5,IF(124=$F$5,0,F132-E133),"")</f>
        <v/>
      </c>
    </row>
    <row r="134">
      <c r="A134" s="13">
        <f>IF(125&lt;=$F$5,125,"")</f>
        <v/>
      </c>
      <c r="B134" s="14">
        <f>IF(125&lt;=$F$5,DATE(YEAR($C$7),MONTH($C$7)+124,DAY($C$7)),"")</f>
        <v/>
      </c>
      <c r="C134" s="15">
        <f>IF(125&lt;=$F$5,$F$4,"")</f>
        <v/>
      </c>
      <c r="D134" s="15">
        <f>IF(125&lt;=$F$5,ROUND(F133*$C$5/12,2),"")</f>
        <v/>
      </c>
      <c r="E134" s="15">
        <f>IF(125&lt;=$F$5,C134-D134,"")</f>
        <v/>
      </c>
      <c r="F134" s="15">
        <f>IF(125&lt;=$F$5,IF(125=$F$5,0,F133-E134),"")</f>
        <v/>
      </c>
    </row>
    <row r="135">
      <c r="A135" s="16">
        <f>IF(126&lt;=$F$5,126,"")</f>
        <v/>
      </c>
      <c r="B135" s="17">
        <f>IF(126&lt;=$F$5,DATE(YEAR($C$7),MONTH($C$7)+125,DAY($C$7)),"")</f>
        <v/>
      </c>
      <c r="C135" s="18">
        <f>IF(126&lt;=$F$5,$F$4,"")</f>
        <v/>
      </c>
      <c r="D135" s="18">
        <f>IF(126&lt;=$F$5,ROUND(F134*$C$5/12,2),"")</f>
        <v/>
      </c>
      <c r="E135" s="18">
        <f>IF(126&lt;=$F$5,C135-D135,"")</f>
        <v/>
      </c>
      <c r="F135" s="18">
        <f>IF(126&lt;=$F$5,IF(126=$F$5,0,F134-E135),"")</f>
        <v/>
      </c>
    </row>
    <row r="136">
      <c r="A136" s="13">
        <f>IF(127&lt;=$F$5,127,"")</f>
        <v/>
      </c>
      <c r="B136" s="14">
        <f>IF(127&lt;=$F$5,DATE(YEAR($C$7),MONTH($C$7)+126,DAY($C$7)),"")</f>
        <v/>
      </c>
      <c r="C136" s="15">
        <f>IF(127&lt;=$F$5,$F$4,"")</f>
        <v/>
      </c>
      <c r="D136" s="15">
        <f>IF(127&lt;=$F$5,ROUND(F135*$C$5/12,2),"")</f>
        <v/>
      </c>
      <c r="E136" s="15">
        <f>IF(127&lt;=$F$5,C136-D136,"")</f>
        <v/>
      </c>
      <c r="F136" s="15">
        <f>IF(127&lt;=$F$5,IF(127=$F$5,0,F135-E136),"")</f>
        <v/>
      </c>
    </row>
    <row r="137">
      <c r="A137" s="16">
        <f>IF(128&lt;=$F$5,128,"")</f>
        <v/>
      </c>
      <c r="B137" s="17">
        <f>IF(128&lt;=$F$5,DATE(YEAR($C$7),MONTH($C$7)+127,DAY($C$7)),"")</f>
        <v/>
      </c>
      <c r="C137" s="18">
        <f>IF(128&lt;=$F$5,$F$4,"")</f>
        <v/>
      </c>
      <c r="D137" s="18">
        <f>IF(128&lt;=$F$5,ROUND(F136*$C$5/12,2),"")</f>
        <v/>
      </c>
      <c r="E137" s="18">
        <f>IF(128&lt;=$F$5,C137-D137,"")</f>
        <v/>
      </c>
      <c r="F137" s="18">
        <f>IF(128&lt;=$F$5,IF(128=$F$5,0,F136-E137),"")</f>
        <v/>
      </c>
    </row>
    <row r="138">
      <c r="A138" s="13">
        <f>IF(129&lt;=$F$5,129,"")</f>
        <v/>
      </c>
      <c r="B138" s="14">
        <f>IF(129&lt;=$F$5,DATE(YEAR($C$7),MONTH($C$7)+128,DAY($C$7)),"")</f>
        <v/>
      </c>
      <c r="C138" s="15">
        <f>IF(129&lt;=$F$5,$F$4,"")</f>
        <v/>
      </c>
      <c r="D138" s="15">
        <f>IF(129&lt;=$F$5,ROUND(F137*$C$5/12,2),"")</f>
        <v/>
      </c>
      <c r="E138" s="15">
        <f>IF(129&lt;=$F$5,C138-D138,"")</f>
        <v/>
      </c>
      <c r="F138" s="15">
        <f>IF(129&lt;=$F$5,IF(129=$F$5,0,F137-E138),"")</f>
        <v/>
      </c>
    </row>
    <row r="139">
      <c r="A139" s="16">
        <f>IF(130&lt;=$F$5,130,"")</f>
        <v/>
      </c>
      <c r="B139" s="17">
        <f>IF(130&lt;=$F$5,DATE(YEAR($C$7),MONTH($C$7)+129,DAY($C$7)),"")</f>
        <v/>
      </c>
      <c r="C139" s="18">
        <f>IF(130&lt;=$F$5,$F$4,"")</f>
        <v/>
      </c>
      <c r="D139" s="18">
        <f>IF(130&lt;=$F$5,ROUND(F138*$C$5/12,2),"")</f>
        <v/>
      </c>
      <c r="E139" s="18">
        <f>IF(130&lt;=$F$5,C139-D139,"")</f>
        <v/>
      </c>
      <c r="F139" s="18">
        <f>IF(130&lt;=$F$5,IF(130=$F$5,0,F138-E139),"")</f>
        <v/>
      </c>
    </row>
    <row r="140">
      <c r="A140" s="13">
        <f>IF(131&lt;=$F$5,131,"")</f>
        <v/>
      </c>
      <c r="B140" s="14">
        <f>IF(131&lt;=$F$5,DATE(YEAR($C$7),MONTH($C$7)+130,DAY($C$7)),"")</f>
        <v/>
      </c>
      <c r="C140" s="15">
        <f>IF(131&lt;=$F$5,$F$4,"")</f>
        <v/>
      </c>
      <c r="D140" s="15">
        <f>IF(131&lt;=$F$5,ROUND(F139*$C$5/12,2),"")</f>
        <v/>
      </c>
      <c r="E140" s="15">
        <f>IF(131&lt;=$F$5,C140-D140,"")</f>
        <v/>
      </c>
      <c r="F140" s="15">
        <f>IF(131&lt;=$F$5,IF(131=$F$5,0,F139-E140),"")</f>
        <v/>
      </c>
    </row>
    <row r="141">
      <c r="A141" s="16">
        <f>IF(132&lt;=$F$5,132,"")</f>
        <v/>
      </c>
      <c r="B141" s="17">
        <f>IF(132&lt;=$F$5,DATE(YEAR($C$7),MONTH($C$7)+131,DAY($C$7)),"")</f>
        <v/>
      </c>
      <c r="C141" s="18">
        <f>IF(132&lt;=$F$5,$F$4,"")</f>
        <v/>
      </c>
      <c r="D141" s="18">
        <f>IF(132&lt;=$F$5,ROUND(F140*$C$5/12,2),"")</f>
        <v/>
      </c>
      <c r="E141" s="18">
        <f>IF(132&lt;=$F$5,C141-D141,"")</f>
        <v/>
      </c>
      <c r="F141" s="18">
        <f>IF(132&lt;=$F$5,IF(132=$F$5,0,F140-E141),"")</f>
        <v/>
      </c>
    </row>
    <row r="142">
      <c r="A142" s="13">
        <f>IF(133&lt;=$F$5,133,"")</f>
        <v/>
      </c>
      <c r="B142" s="14">
        <f>IF(133&lt;=$F$5,DATE(YEAR($C$7),MONTH($C$7)+132,DAY($C$7)),"")</f>
        <v/>
      </c>
      <c r="C142" s="15">
        <f>IF(133&lt;=$F$5,$F$4,"")</f>
        <v/>
      </c>
      <c r="D142" s="15">
        <f>IF(133&lt;=$F$5,ROUND(F141*$C$5/12,2),"")</f>
        <v/>
      </c>
      <c r="E142" s="15">
        <f>IF(133&lt;=$F$5,C142-D142,"")</f>
        <v/>
      </c>
      <c r="F142" s="15">
        <f>IF(133&lt;=$F$5,IF(133=$F$5,0,F141-E142),"")</f>
        <v/>
      </c>
    </row>
    <row r="143">
      <c r="A143" s="16">
        <f>IF(134&lt;=$F$5,134,"")</f>
        <v/>
      </c>
      <c r="B143" s="17">
        <f>IF(134&lt;=$F$5,DATE(YEAR($C$7),MONTH($C$7)+133,DAY($C$7)),"")</f>
        <v/>
      </c>
      <c r="C143" s="18">
        <f>IF(134&lt;=$F$5,$F$4,"")</f>
        <v/>
      </c>
      <c r="D143" s="18">
        <f>IF(134&lt;=$F$5,ROUND(F142*$C$5/12,2),"")</f>
        <v/>
      </c>
      <c r="E143" s="18">
        <f>IF(134&lt;=$F$5,C143-D143,"")</f>
        <v/>
      </c>
      <c r="F143" s="18">
        <f>IF(134&lt;=$F$5,IF(134=$F$5,0,F142-E143),"")</f>
        <v/>
      </c>
    </row>
    <row r="144">
      <c r="A144" s="13">
        <f>IF(135&lt;=$F$5,135,"")</f>
        <v/>
      </c>
      <c r="B144" s="14">
        <f>IF(135&lt;=$F$5,DATE(YEAR($C$7),MONTH($C$7)+134,DAY($C$7)),"")</f>
        <v/>
      </c>
      <c r="C144" s="15">
        <f>IF(135&lt;=$F$5,$F$4,"")</f>
        <v/>
      </c>
      <c r="D144" s="15">
        <f>IF(135&lt;=$F$5,ROUND(F143*$C$5/12,2),"")</f>
        <v/>
      </c>
      <c r="E144" s="15">
        <f>IF(135&lt;=$F$5,C144-D144,"")</f>
        <v/>
      </c>
      <c r="F144" s="15">
        <f>IF(135&lt;=$F$5,IF(135=$F$5,0,F143-E144),"")</f>
        <v/>
      </c>
    </row>
    <row r="145">
      <c r="A145" s="16">
        <f>IF(136&lt;=$F$5,136,"")</f>
        <v/>
      </c>
      <c r="B145" s="17">
        <f>IF(136&lt;=$F$5,DATE(YEAR($C$7),MONTH($C$7)+135,DAY($C$7)),"")</f>
        <v/>
      </c>
      <c r="C145" s="18">
        <f>IF(136&lt;=$F$5,$F$4,"")</f>
        <v/>
      </c>
      <c r="D145" s="18">
        <f>IF(136&lt;=$F$5,ROUND(F144*$C$5/12,2),"")</f>
        <v/>
      </c>
      <c r="E145" s="18">
        <f>IF(136&lt;=$F$5,C145-D145,"")</f>
        <v/>
      </c>
      <c r="F145" s="18">
        <f>IF(136&lt;=$F$5,IF(136=$F$5,0,F144-E145),"")</f>
        <v/>
      </c>
    </row>
    <row r="146">
      <c r="A146" s="13">
        <f>IF(137&lt;=$F$5,137,"")</f>
        <v/>
      </c>
      <c r="B146" s="14">
        <f>IF(137&lt;=$F$5,DATE(YEAR($C$7),MONTH($C$7)+136,DAY($C$7)),"")</f>
        <v/>
      </c>
      <c r="C146" s="15">
        <f>IF(137&lt;=$F$5,$F$4,"")</f>
        <v/>
      </c>
      <c r="D146" s="15">
        <f>IF(137&lt;=$F$5,ROUND(F145*$C$5/12,2),"")</f>
        <v/>
      </c>
      <c r="E146" s="15">
        <f>IF(137&lt;=$F$5,C146-D146,"")</f>
        <v/>
      </c>
      <c r="F146" s="15">
        <f>IF(137&lt;=$F$5,IF(137=$F$5,0,F145-E146),"")</f>
        <v/>
      </c>
    </row>
    <row r="147">
      <c r="A147" s="16">
        <f>IF(138&lt;=$F$5,138,"")</f>
        <v/>
      </c>
      <c r="B147" s="17">
        <f>IF(138&lt;=$F$5,DATE(YEAR($C$7),MONTH($C$7)+137,DAY($C$7)),"")</f>
        <v/>
      </c>
      <c r="C147" s="18">
        <f>IF(138&lt;=$F$5,$F$4,"")</f>
        <v/>
      </c>
      <c r="D147" s="18">
        <f>IF(138&lt;=$F$5,ROUND(F146*$C$5/12,2),"")</f>
        <v/>
      </c>
      <c r="E147" s="18">
        <f>IF(138&lt;=$F$5,C147-D147,"")</f>
        <v/>
      </c>
      <c r="F147" s="18">
        <f>IF(138&lt;=$F$5,IF(138=$F$5,0,F146-E147),"")</f>
        <v/>
      </c>
    </row>
    <row r="148">
      <c r="A148" s="13">
        <f>IF(139&lt;=$F$5,139,"")</f>
        <v/>
      </c>
      <c r="B148" s="14">
        <f>IF(139&lt;=$F$5,DATE(YEAR($C$7),MONTH($C$7)+138,DAY($C$7)),"")</f>
        <v/>
      </c>
      <c r="C148" s="15">
        <f>IF(139&lt;=$F$5,$F$4,"")</f>
        <v/>
      </c>
      <c r="D148" s="15">
        <f>IF(139&lt;=$F$5,ROUND(F147*$C$5/12,2),"")</f>
        <v/>
      </c>
      <c r="E148" s="15">
        <f>IF(139&lt;=$F$5,C148-D148,"")</f>
        <v/>
      </c>
      <c r="F148" s="15">
        <f>IF(139&lt;=$F$5,IF(139=$F$5,0,F147-E148),"")</f>
        <v/>
      </c>
    </row>
    <row r="149">
      <c r="A149" s="16">
        <f>IF(140&lt;=$F$5,140,"")</f>
        <v/>
      </c>
      <c r="B149" s="17">
        <f>IF(140&lt;=$F$5,DATE(YEAR($C$7),MONTH($C$7)+139,DAY($C$7)),"")</f>
        <v/>
      </c>
      <c r="C149" s="18">
        <f>IF(140&lt;=$F$5,$F$4,"")</f>
        <v/>
      </c>
      <c r="D149" s="18">
        <f>IF(140&lt;=$F$5,ROUND(F148*$C$5/12,2),"")</f>
        <v/>
      </c>
      <c r="E149" s="18">
        <f>IF(140&lt;=$F$5,C149-D149,"")</f>
        <v/>
      </c>
      <c r="F149" s="18">
        <f>IF(140&lt;=$F$5,IF(140=$F$5,0,F148-E149),"")</f>
        <v/>
      </c>
    </row>
    <row r="150">
      <c r="A150" s="13">
        <f>IF(141&lt;=$F$5,141,"")</f>
        <v/>
      </c>
      <c r="B150" s="14">
        <f>IF(141&lt;=$F$5,DATE(YEAR($C$7),MONTH($C$7)+140,DAY($C$7)),"")</f>
        <v/>
      </c>
      <c r="C150" s="15">
        <f>IF(141&lt;=$F$5,$F$4,"")</f>
        <v/>
      </c>
      <c r="D150" s="15">
        <f>IF(141&lt;=$F$5,ROUND(F149*$C$5/12,2),"")</f>
        <v/>
      </c>
      <c r="E150" s="15">
        <f>IF(141&lt;=$F$5,C150-D150,"")</f>
        <v/>
      </c>
      <c r="F150" s="15">
        <f>IF(141&lt;=$F$5,IF(141=$F$5,0,F149-E150),"")</f>
        <v/>
      </c>
    </row>
    <row r="151">
      <c r="A151" s="16">
        <f>IF(142&lt;=$F$5,142,"")</f>
        <v/>
      </c>
      <c r="B151" s="17">
        <f>IF(142&lt;=$F$5,DATE(YEAR($C$7),MONTH($C$7)+141,DAY($C$7)),"")</f>
        <v/>
      </c>
      <c r="C151" s="18">
        <f>IF(142&lt;=$F$5,$F$4,"")</f>
        <v/>
      </c>
      <c r="D151" s="18">
        <f>IF(142&lt;=$F$5,ROUND(F150*$C$5/12,2),"")</f>
        <v/>
      </c>
      <c r="E151" s="18">
        <f>IF(142&lt;=$F$5,C151-D151,"")</f>
        <v/>
      </c>
      <c r="F151" s="18">
        <f>IF(142&lt;=$F$5,IF(142=$F$5,0,F150-E151),"")</f>
        <v/>
      </c>
    </row>
    <row r="152">
      <c r="A152" s="13">
        <f>IF(143&lt;=$F$5,143,"")</f>
        <v/>
      </c>
      <c r="B152" s="14">
        <f>IF(143&lt;=$F$5,DATE(YEAR($C$7),MONTH($C$7)+142,DAY($C$7)),"")</f>
        <v/>
      </c>
      <c r="C152" s="15">
        <f>IF(143&lt;=$F$5,$F$4,"")</f>
        <v/>
      </c>
      <c r="D152" s="15">
        <f>IF(143&lt;=$F$5,ROUND(F151*$C$5/12,2),"")</f>
        <v/>
      </c>
      <c r="E152" s="15">
        <f>IF(143&lt;=$F$5,C152-D152,"")</f>
        <v/>
      </c>
      <c r="F152" s="15">
        <f>IF(143&lt;=$F$5,IF(143=$F$5,0,F151-E152),"")</f>
        <v/>
      </c>
    </row>
    <row r="153">
      <c r="A153" s="16">
        <f>IF(144&lt;=$F$5,144,"")</f>
        <v/>
      </c>
      <c r="B153" s="17">
        <f>IF(144&lt;=$F$5,DATE(YEAR($C$7),MONTH($C$7)+143,DAY($C$7)),"")</f>
        <v/>
      </c>
      <c r="C153" s="18">
        <f>IF(144&lt;=$F$5,$F$4,"")</f>
        <v/>
      </c>
      <c r="D153" s="18">
        <f>IF(144&lt;=$F$5,ROUND(F152*$C$5/12,2),"")</f>
        <v/>
      </c>
      <c r="E153" s="18">
        <f>IF(144&lt;=$F$5,C153-D153,"")</f>
        <v/>
      </c>
      <c r="F153" s="18">
        <f>IF(144&lt;=$F$5,IF(144=$F$5,0,F152-E153),"")</f>
        <v/>
      </c>
    </row>
    <row r="154">
      <c r="A154" s="13">
        <f>IF(145&lt;=$F$5,145,"")</f>
        <v/>
      </c>
      <c r="B154" s="14">
        <f>IF(145&lt;=$F$5,DATE(YEAR($C$7),MONTH($C$7)+144,DAY($C$7)),"")</f>
        <v/>
      </c>
      <c r="C154" s="15">
        <f>IF(145&lt;=$F$5,$F$4,"")</f>
        <v/>
      </c>
      <c r="D154" s="15">
        <f>IF(145&lt;=$F$5,ROUND(F153*$C$5/12,2),"")</f>
        <v/>
      </c>
      <c r="E154" s="15">
        <f>IF(145&lt;=$F$5,C154-D154,"")</f>
        <v/>
      </c>
      <c r="F154" s="15">
        <f>IF(145&lt;=$F$5,IF(145=$F$5,0,F153-E154),"")</f>
        <v/>
      </c>
    </row>
    <row r="155">
      <c r="A155" s="16">
        <f>IF(146&lt;=$F$5,146,"")</f>
        <v/>
      </c>
      <c r="B155" s="17">
        <f>IF(146&lt;=$F$5,DATE(YEAR($C$7),MONTH($C$7)+145,DAY($C$7)),"")</f>
        <v/>
      </c>
      <c r="C155" s="18">
        <f>IF(146&lt;=$F$5,$F$4,"")</f>
        <v/>
      </c>
      <c r="D155" s="18">
        <f>IF(146&lt;=$F$5,ROUND(F154*$C$5/12,2),"")</f>
        <v/>
      </c>
      <c r="E155" s="18">
        <f>IF(146&lt;=$F$5,C155-D155,"")</f>
        <v/>
      </c>
      <c r="F155" s="18">
        <f>IF(146&lt;=$F$5,IF(146=$F$5,0,F154-E155),"")</f>
        <v/>
      </c>
    </row>
    <row r="156">
      <c r="A156" s="13">
        <f>IF(147&lt;=$F$5,147,"")</f>
        <v/>
      </c>
      <c r="B156" s="14">
        <f>IF(147&lt;=$F$5,DATE(YEAR($C$7),MONTH($C$7)+146,DAY($C$7)),"")</f>
        <v/>
      </c>
      <c r="C156" s="15">
        <f>IF(147&lt;=$F$5,$F$4,"")</f>
        <v/>
      </c>
      <c r="D156" s="15">
        <f>IF(147&lt;=$F$5,ROUND(F155*$C$5/12,2),"")</f>
        <v/>
      </c>
      <c r="E156" s="15">
        <f>IF(147&lt;=$F$5,C156-D156,"")</f>
        <v/>
      </c>
      <c r="F156" s="15">
        <f>IF(147&lt;=$F$5,IF(147=$F$5,0,F155-E156),"")</f>
        <v/>
      </c>
    </row>
    <row r="157">
      <c r="A157" s="16">
        <f>IF(148&lt;=$F$5,148,"")</f>
        <v/>
      </c>
      <c r="B157" s="17">
        <f>IF(148&lt;=$F$5,DATE(YEAR($C$7),MONTH($C$7)+147,DAY($C$7)),"")</f>
        <v/>
      </c>
      <c r="C157" s="18">
        <f>IF(148&lt;=$F$5,$F$4,"")</f>
        <v/>
      </c>
      <c r="D157" s="18">
        <f>IF(148&lt;=$F$5,ROUND(F156*$C$5/12,2),"")</f>
        <v/>
      </c>
      <c r="E157" s="18">
        <f>IF(148&lt;=$F$5,C157-D157,"")</f>
        <v/>
      </c>
      <c r="F157" s="18">
        <f>IF(148&lt;=$F$5,IF(148=$F$5,0,F156-E157),"")</f>
        <v/>
      </c>
    </row>
    <row r="158">
      <c r="A158" s="13">
        <f>IF(149&lt;=$F$5,149,"")</f>
        <v/>
      </c>
      <c r="B158" s="14">
        <f>IF(149&lt;=$F$5,DATE(YEAR($C$7),MONTH($C$7)+148,DAY($C$7)),"")</f>
        <v/>
      </c>
      <c r="C158" s="15">
        <f>IF(149&lt;=$F$5,$F$4,"")</f>
        <v/>
      </c>
      <c r="D158" s="15">
        <f>IF(149&lt;=$F$5,ROUND(F157*$C$5/12,2),"")</f>
        <v/>
      </c>
      <c r="E158" s="15">
        <f>IF(149&lt;=$F$5,C158-D158,"")</f>
        <v/>
      </c>
      <c r="F158" s="15">
        <f>IF(149&lt;=$F$5,IF(149=$F$5,0,F157-E158),"")</f>
        <v/>
      </c>
    </row>
    <row r="159">
      <c r="A159" s="16">
        <f>IF(150&lt;=$F$5,150,"")</f>
        <v/>
      </c>
      <c r="B159" s="17">
        <f>IF(150&lt;=$F$5,DATE(YEAR($C$7),MONTH($C$7)+149,DAY($C$7)),"")</f>
        <v/>
      </c>
      <c r="C159" s="18">
        <f>IF(150&lt;=$F$5,$F$4,"")</f>
        <v/>
      </c>
      <c r="D159" s="18">
        <f>IF(150&lt;=$F$5,ROUND(F158*$C$5/12,2),"")</f>
        <v/>
      </c>
      <c r="E159" s="18">
        <f>IF(150&lt;=$F$5,C159-D159,"")</f>
        <v/>
      </c>
      <c r="F159" s="18">
        <f>IF(150&lt;=$F$5,IF(150=$F$5,0,F158-E159),"")</f>
        <v/>
      </c>
    </row>
    <row r="160">
      <c r="A160" s="13">
        <f>IF(151&lt;=$F$5,151,"")</f>
        <v/>
      </c>
      <c r="B160" s="14">
        <f>IF(151&lt;=$F$5,DATE(YEAR($C$7),MONTH($C$7)+150,DAY($C$7)),"")</f>
        <v/>
      </c>
      <c r="C160" s="15">
        <f>IF(151&lt;=$F$5,$F$4,"")</f>
        <v/>
      </c>
      <c r="D160" s="15">
        <f>IF(151&lt;=$F$5,ROUND(F159*$C$5/12,2),"")</f>
        <v/>
      </c>
      <c r="E160" s="15">
        <f>IF(151&lt;=$F$5,C160-D160,"")</f>
        <v/>
      </c>
      <c r="F160" s="15">
        <f>IF(151&lt;=$F$5,IF(151=$F$5,0,F159-E160),"")</f>
        <v/>
      </c>
    </row>
    <row r="161">
      <c r="A161" s="16">
        <f>IF(152&lt;=$F$5,152,"")</f>
        <v/>
      </c>
      <c r="B161" s="17">
        <f>IF(152&lt;=$F$5,DATE(YEAR($C$7),MONTH($C$7)+151,DAY($C$7)),"")</f>
        <v/>
      </c>
      <c r="C161" s="18">
        <f>IF(152&lt;=$F$5,$F$4,"")</f>
        <v/>
      </c>
      <c r="D161" s="18">
        <f>IF(152&lt;=$F$5,ROUND(F160*$C$5/12,2),"")</f>
        <v/>
      </c>
      <c r="E161" s="18">
        <f>IF(152&lt;=$F$5,C161-D161,"")</f>
        <v/>
      </c>
      <c r="F161" s="18">
        <f>IF(152&lt;=$F$5,IF(152=$F$5,0,F160-E161),"")</f>
        <v/>
      </c>
    </row>
    <row r="162">
      <c r="A162" s="13">
        <f>IF(153&lt;=$F$5,153,"")</f>
        <v/>
      </c>
      <c r="B162" s="14">
        <f>IF(153&lt;=$F$5,DATE(YEAR($C$7),MONTH($C$7)+152,DAY($C$7)),"")</f>
        <v/>
      </c>
      <c r="C162" s="15">
        <f>IF(153&lt;=$F$5,$F$4,"")</f>
        <v/>
      </c>
      <c r="D162" s="15">
        <f>IF(153&lt;=$F$5,ROUND(F161*$C$5/12,2),"")</f>
        <v/>
      </c>
      <c r="E162" s="15">
        <f>IF(153&lt;=$F$5,C162-D162,"")</f>
        <v/>
      </c>
      <c r="F162" s="15">
        <f>IF(153&lt;=$F$5,IF(153=$F$5,0,F161-E162),"")</f>
        <v/>
      </c>
    </row>
    <row r="163">
      <c r="A163" s="16">
        <f>IF(154&lt;=$F$5,154,"")</f>
        <v/>
      </c>
      <c r="B163" s="17">
        <f>IF(154&lt;=$F$5,DATE(YEAR($C$7),MONTH($C$7)+153,DAY($C$7)),"")</f>
        <v/>
      </c>
      <c r="C163" s="18">
        <f>IF(154&lt;=$F$5,$F$4,"")</f>
        <v/>
      </c>
      <c r="D163" s="18">
        <f>IF(154&lt;=$F$5,ROUND(F162*$C$5/12,2),"")</f>
        <v/>
      </c>
      <c r="E163" s="18">
        <f>IF(154&lt;=$F$5,C163-D163,"")</f>
        <v/>
      </c>
      <c r="F163" s="18">
        <f>IF(154&lt;=$F$5,IF(154=$F$5,0,F162-E163),"")</f>
        <v/>
      </c>
    </row>
    <row r="164">
      <c r="A164" s="13">
        <f>IF(155&lt;=$F$5,155,"")</f>
        <v/>
      </c>
      <c r="B164" s="14">
        <f>IF(155&lt;=$F$5,DATE(YEAR($C$7),MONTH($C$7)+154,DAY($C$7)),"")</f>
        <v/>
      </c>
      <c r="C164" s="15">
        <f>IF(155&lt;=$F$5,$F$4,"")</f>
        <v/>
      </c>
      <c r="D164" s="15">
        <f>IF(155&lt;=$F$5,ROUND(F163*$C$5/12,2),"")</f>
        <v/>
      </c>
      <c r="E164" s="15">
        <f>IF(155&lt;=$F$5,C164-D164,"")</f>
        <v/>
      </c>
      <c r="F164" s="15">
        <f>IF(155&lt;=$F$5,IF(155=$F$5,0,F163-E164),"")</f>
        <v/>
      </c>
    </row>
    <row r="165">
      <c r="A165" s="16">
        <f>IF(156&lt;=$F$5,156,"")</f>
        <v/>
      </c>
      <c r="B165" s="17">
        <f>IF(156&lt;=$F$5,DATE(YEAR($C$7),MONTH($C$7)+155,DAY($C$7)),"")</f>
        <v/>
      </c>
      <c r="C165" s="18">
        <f>IF(156&lt;=$F$5,$F$4,"")</f>
        <v/>
      </c>
      <c r="D165" s="18">
        <f>IF(156&lt;=$F$5,ROUND(F164*$C$5/12,2),"")</f>
        <v/>
      </c>
      <c r="E165" s="18">
        <f>IF(156&lt;=$F$5,C165-D165,"")</f>
        <v/>
      </c>
      <c r="F165" s="18">
        <f>IF(156&lt;=$F$5,IF(156=$F$5,0,F164-E165),"")</f>
        <v/>
      </c>
    </row>
    <row r="166">
      <c r="A166" s="13">
        <f>IF(157&lt;=$F$5,157,"")</f>
        <v/>
      </c>
      <c r="B166" s="14">
        <f>IF(157&lt;=$F$5,DATE(YEAR($C$7),MONTH($C$7)+156,DAY($C$7)),"")</f>
        <v/>
      </c>
      <c r="C166" s="15">
        <f>IF(157&lt;=$F$5,$F$4,"")</f>
        <v/>
      </c>
      <c r="D166" s="15">
        <f>IF(157&lt;=$F$5,ROUND(F165*$C$5/12,2),"")</f>
        <v/>
      </c>
      <c r="E166" s="15">
        <f>IF(157&lt;=$F$5,C166-D166,"")</f>
        <v/>
      </c>
      <c r="F166" s="15">
        <f>IF(157&lt;=$F$5,IF(157=$F$5,0,F165-E166),"")</f>
        <v/>
      </c>
    </row>
    <row r="167">
      <c r="A167" s="16">
        <f>IF(158&lt;=$F$5,158,"")</f>
        <v/>
      </c>
      <c r="B167" s="17">
        <f>IF(158&lt;=$F$5,DATE(YEAR($C$7),MONTH($C$7)+157,DAY($C$7)),"")</f>
        <v/>
      </c>
      <c r="C167" s="18">
        <f>IF(158&lt;=$F$5,$F$4,"")</f>
        <v/>
      </c>
      <c r="D167" s="18">
        <f>IF(158&lt;=$F$5,ROUND(F166*$C$5/12,2),"")</f>
        <v/>
      </c>
      <c r="E167" s="18">
        <f>IF(158&lt;=$F$5,C167-D167,"")</f>
        <v/>
      </c>
      <c r="F167" s="18">
        <f>IF(158&lt;=$F$5,IF(158=$F$5,0,F166-E167),"")</f>
        <v/>
      </c>
    </row>
    <row r="168">
      <c r="A168" s="13">
        <f>IF(159&lt;=$F$5,159,"")</f>
        <v/>
      </c>
      <c r="B168" s="14">
        <f>IF(159&lt;=$F$5,DATE(YEAR($C$7),MONTH($C$7)+158,DAY($C$7)),"")</f>
        <v/>
      </c>
      <c r="C168" s="15">
        <f>IF(159&lt;=$F$5,$F$4,"")</f>
        <v/>
      </c>
      <c r="D168" s="15">
        <f>IF(159&lt;=$F$5,ROUND(F167*$C$5/12,2),"")</f>
        <v/>
      </c>
      <c r="E168" s="15">
        <f>IF(159&lt;=$F$5,C168-D168,"")</f>
        <v/>
      </c>
      <c r="F168" s="15">
        <f>IF(159&lt;=$F$5,IF(159=$F$5,0,F167-E168),"")</f>
        <v/>
      </c>
    </row>
    <row r="169">
      <c r="A169" s="16">
        <f>IF(160&lt;=$F$5,160,"")</f>
        <v/>
      </c>
      <c r="B169" s="17">
        <f>IF(160&lt;=$F$5,DATE(YEAR($C$7),MONTH($C$7)+159,DAY($C$7)),"")</f>
        <v/>
      </c>
      <c r="C169" s="18">
        <f>IF(160&lt;=$F$5,$F$4,"")</f>
        <v/>
      </c>
      <c r="D169" s="18">
        <f>IF(160&lt;=$F$5,ROUND(F168*$C$5/12,2),"")</f>
        <v/>
      </c>
      <c r="E169" s="18">
        <f>IF(160&lt;=$F$5,C169-D169,"")</f>
        <v/>
      </c>
      <c r="F169" s="18">
        <f>IF(160&lt;=$F$5,IF(160=$F$5,0,F168-E169),"")</f>
        <v/>
      </c>
    </row>
    <row r="170">
      <c r="A170" s="13">
        <f>IF(161&lt;=$F$5,161,"")</f>
        <v/>
      </c>
      <c r="B170" s="14">
        <f>IF(161&lt;=$F$5,DATE(YEAR($C$7),MONTH($C$7)+160,DAY($C$7)),"")</f>
        <v/>
      </c>
      <c r="C170" s="15">
        <f>IF(161&lt;=$F$5,$F$4,"")</f>
        <v/>
      </c>
      <c r="D170" s="15">
        <f>IF(161&lt;=$F$5,ROUND(F169*$C$5/12,2),"")</f>
        <v/>
      </c>
      <c r="E170" s="15">
        <f>IF(161&lt;=$F$5,C170-D170,"")</f>
        <v/>
      </c>
      <c r="F170" s="15">
        <f>IF(161&lt;=$F$5,IF(161=$F$5,0,F169-E170),"")</f>
        <v/>
      </c>
    </row>
    <row r="171">
      <c r="A171" s="16">
        <f>IF(162&lt;=$F$5,162,"")</f>
        <v/>
      </c>
      <c r="B171" s="17">
        <f>IF(162&lt;=$F$5,DATE(YEAR($C$7),MONTH($C$7)+161,DAY($C$7)),"")</f>
        <v/>
      </c>
      <c r="C171" s="18">
        <f>IF(162&lt;=$F$5,$F$4,"")</f>
        <v/>
      </c>
      <c r="D171" s="18">
        <f>IF(162&lt;=$F$5,ROUND(F170*$C$5/12,2),"")</f>
        <v/>
      </c>
      <c r="E171" s="18">
        <f>IF(162&lt;=$F$5,C171-D171,"")</f>
        <v/>
      </c>
      <c r="F171" s="18">
        <f>IF(162&lt;=$F$5,IF(162=$F$5,0,F170-E171),"")</f>
        <v/>
      </c>
    </row>
    <row r="172">
      <c r="A172" s="13">
        <f>IF(163&lt;=$F$5,163,"")</f>
        <v/>
      </c>
      <c r="B172" s="14">
        <f>IF(163&lt;=$F$5,DATE(YEAR($C$7),MONTH($C$7)+162,DAY($C$7)),"")</f>
        <v/>
      </c>
      <c r="C172" s="15">
        <f>IF(163&lt;=$F$5,$F$4,"")</f>
        <v/>
      </c>
      <c r="D172" s="15">
        <f>IF(163&lt;=$F$5,ROUND(F171*$C$5/12,2),"")</f>
        <v/>
      </c>
      <c r="E172" s="15">
        <f>IF(163&lt;=$F$5,C172-D172,"")</f>
        <v/>
      </c>
      <c r="F172" s="15">
        <f>IF(163&lt;=$F$5,IF(163=$F$5,0,F171-E172),"")</f>
        <v/>
      </c>
    </row>
    <row r="173">
      <c r="A173" s="16">
        <f>IF(164&lt;=$F$5,164,"")</f>
        <v/>
      </c>
      <c r="B173" s="17">
        <f>IF(164&lt;=$F$5,DATE(YEAR($C$7),MONTH($C$7)+163,DAY($C$7)),"")</f>
        <v/>
      </c>
      <c r="C173" s="18">
        <f>IF(164&lt;=$F$5,$F$4,"")</f>
        <v/>
      </c>
      <c r="D173" s="18">
        <f>IF(164&lt;=$F$5,ROUND(F172*$C$5/12,2),"")</f>
        <v/>
      </c>
      <c r="E173" s="18">
        <f>IF(164&lt;=$F$5,C173-D173,"")</f>
        <v/>
      </c>
      <c r="F173" s="18">
        <f>IF(164&lt;=$F$5,IF(164=$F$5,0,F172-E173),"")</f>
        <v/>
      </c>
    </row>
    <row r="174">
      <c r="A174" s="13">
        <f>IF(165&lt;=$F$5,165,"")</f>
        <v/>
      </c>
      <c r="B174" s="14">
        <f>IF(165&lt;=$F$5,DATE(YEAR($C$7),MONTH($C$7)+164,DAY($C$7)),"")</f>
        <v/>
      </c>
      <c r="C174" s="15">
        <f>IF(165&lt;=$F$5,$F$4,"")</f>
        <v/>
      </c>
      <c r="D174" s="15">
        <f>IF(165&lt;=$F$5,ROUND(F173*$C$5/12,2),"")</f>
        <v/>
      </c>
      <c r="E174" s="15">
        <f>IF(165&lt;=$F$5,C174-D174,"")</f>
        <v/>
      </c>
      <c r="F174" s="15">
        <f>IF(165&lt;=$F$5,IF(165=$F$5,0,F173-E174),"")</f>
        <v/>
      </c>
    </row>
    <row r="175">
      <c r="A175" s="16">
        <f>IF(166&lt;=$F$5,166,"")</f>
        <v/>
      </c>
      <c r="B175" s="17">
        <f>IF(166&lt;=$F$5,DATE(YEAR($C$7),MONTH($C$7)+165,DAY($C$7)),"")</f>
        <v/>
      </c>
      <c r="C175" s="18">
        <f>IF(166&lt;=$F$5,$F$4,"")</f>
        <v/>
      </c>
      <c r="D175" s="18">
        <f>IF(166&lt;=$F$5,ROUND(F174*$C$5/12,2),"")</f>
        <v/>
      </c>
      <c r="E175" s="18">
        <f>IF(166&lt;=$F$5,C175-D175,"")</f>
        <v/>
      </c>
      <c r="F175" s="18">
        <f>IF(166&lt;=$F$5,IF(166=$F$5,0,F174-E175),"")</f>
        <v/>
      </c>
    </row>
    <row r="176">
      <c r="A176" s="13">
        <f>IF(167&lt;=$F$5,167,"")</f>
        <v/>
      </c>
      <c r="B176" s="14">
        <f>IF(167&lt;=$F$5,DATE(YEAR($C$7),MONTH($C$7)+166,DAY($C$7)),"")</f>
        <v/>
      </c>
      <c r="C176" s="15">
        <f>IF(167&lt;=$F$5,$F$4,"")</f>
        <v/>
      </c>
      <c r="D176" s="15">
        <f>IF(167&lt;=$F$5,ROUND(F175*$C$5/12,2),"")</f>
        <v/>
      </c>
      <c r="E176" s="15">
        <f>IF(167&lt;=$F$5,C176-D176,"")</f>
        <v/>
      </c>
      <c r="F176" s="15">
        <f>IF(167&lt;=$F$5,IF(167=$F$5,0,F175-E176),"")</f>
        <v/>
      </c>
    </row>
    <row r="177">
      <c r="A177" s="16">
        <f>IF(168&lt;=$F$5,168,"")</f>
        <v/>
      </c>
      <c r="B177" s="17">
        <f>IF(168&lt;=$F$5,DATE(YEAR($C$7),MONTH($C$7)+167,DAY($C$7)),"")</f>
        <v/>
      </c>
      <c r="C177" s="18">
        <f>IF(168&lt;=$F$5,$F$4,"")</f>
        <v/>
      </c>
      <c r="D177" s="18">
        <f>IF(168&lt;=$F$5,ROUND(F176*$C$5/12,2),"")</f>
        <v/>
      </c>
      <c r="E177" s="18">
        <f>IF(168&lt;=$F$5,C177-D177,"")</f>
        <v/>
      </c>
      <c r="F177" s="18">
        <f>IF(168&lt;=$F$5,IF(168=$F$5,0,F176-E177),"")</f>
        <v/>
      </c>
    </row>
    <row r="178">
      <c r="A178" s="13">
        <f>IF(169&lt;=$F$5,169,"")</f>
        <v/>
      </c>
      <c r="B178" s="14">
        <f>IF(169&lt;=$F$5,DATE(YEAR($C$7),MONTH($C$7)+168,DAY($C$7)),"")</f>
        <v/>
      </c>
      <c r="C178" s="15">
        <f>IF(169&lt;=$F$5,$F$4,"")</f>
        <v/>
      </c>
      <c r="D178" s="15">
        <f>IF(169&lt;=$F$5,ROUND(F177*$C$5/12,2),"")</f>
        <v/>
      </c>
      <c r="E178" s="15">
        <f>IF(169&lt;=$F$5,C178-D178,"")</f>
        <v/>
      </c>
      <c r="F178" s="15">
        <f>IF(169&lt;=$F$5,IF(169=$F$5,0,F177-E178),"")</f>
        <v/>
      </c>
    </row>
    <row r="179">
      <c r="A179" s="16">
        <f>IF(170&lt;=$F$5,170,"")</f>
        <v/>
      </c>
      <c r="B179" s="17">
        <f>IF(170&lt;=$F$5,DATE(YEAR($C$7),MONTH($C$7)+169,DAY($C$7)),"")</f>
        <v/>
      </c>
      <c r="C179" s="18">
        <f>IF(170&lt;=$F$5,$F$4,"")</f>
        <v/>
      </c>
      <c r="D179" s="18">
        <f>IF(170&lt;=$F$5,ROUND(F178*$C$5/12,2),"")</f>
        <v/>
      </c>
      <c r="E179" s="18">
        <f>IF(170&lt;=$F$5,C179-D179,"")</f>
        <v/>
      </c>
      <c r="F179" s="18">
        <f>IF(170&lt;=$F$5,IF(170=$F$5,0,F178-E179),"")</f>
        <v/>
      </c>
    </row>
    <row r="180">
      <c r="A180" s="13">
        <f>IF(171&lt;=$F$5,171,"")</f>
        <v/>
      </c>
      <c r="B180" s="14">
        <f>IF(171&lt;=$F$5,DATE(YEAR($C$7),MONTH($C$7)+170,DAY($C$7)),"")</f>
        <v/>
      </c>
      <c r="C180" s="15">
        <f>IF(171&lt;=$F$5,$F$4,"")</f>
        <v/>
      </c>
      <c r="D180" s="15">
        <f>IF(171&lt;=$F$5,ROUND(F179*$C$5/12,2),"")</f>
        <v/>
      </c>
      <c r="E180" s="15">
        <f>IF(171&lt;=$F$5,C180-D180,"")</f>
        <v/>
      </c>
      <c r="F180" s="15">
        <f>IF(171&lt;=$F$5,IF(171=$F$5,0,F179-E180),"")</f>
        <v/>
      </c>
    </row>
    <row r="181">
      <c r="A181" s="16">
        <f>IF(172&lt;=$F$5,172,"")</f>
        <v/>
      </c>
      <c r="B181" s="17">
        <f>IF(172&lt;=$F$5,DATE(YEAR($C$7),MONTH($C$7)+171,DAY($C$7)),"")</f>
        <v/>
      </c>
      <c r="C181" s="18">
        <f>IF(172&lt;=$F$5,$F$4,"")</f>
        <v/>
      </c>
      <c r="D181" s="18">
        <f>IF(172&lt;=$F$5,ROUND(F180*$C$5/12,2),"")</f>
        <v/>
      </c>
      <c r="E181" s="18">
        <f>IF(172&lt;=$F$5,C181-D181,"")</f>
        <v/>
      </c>
      <c r="F181" s="18">
        <f>IF(172&lt;=$F$5,IF(172=$F$5,0,F180-E181),"")</f>
        <v/>
      </c>
    </row>
    <row r="182">
      <c r="A182" s="13">
        <f>IF(173&lt;=$F$5,173,"")</f>
        <v/>
      </c>
      <c r="B182" s="14">
        <f>IF(173&lt;=$F$5,DATE(YEAR($C$7),MONTH($C$7)+172,DAY($C$7)),"")</f>
        <v/>
      </c>
      <c r="C182" s="15">
        <f>IF(173&lt;=$F$5,$F$4,"")</f>
        <v/>
      </c>
      <c r="D182" s="15">
        <f>IF(173&lt;=$F$5,ROUND(F181*$C$5/12,2),"")</f>
        <v/>
      </c>
      <c r="E182" s="15">
        <f>IF(173&lt;=$F$5,C182-D182,"")</f>
        <v/>
      </c>
      <c r="F182" s="15">
        <f>IF(173&lt;=$F$5,IF(173=$F$5,0,F181-E182),"")</f>
        <v/>
      </c>
    </row>
    <row r="183">
      <c r="A183" s="16">
        <f>IF(174&lt;=$F$5,174,"")</f>
        <v/>
      </c>
      <c r="B183" s="17">
        <f>IF(174&lt;=$F$5,DATE(YEAR($C$7),MONTH($C$7)+173,DAY($C$7)),"")</f>
        <v/>
      </c>
      <c r="C183" s="18">
        <f>IF(174&lt;=$F$5,$F$4,"")</f>
        <v/>
      </c>
      <c r="D183" s="18">
        <f>IF(174&lt;=$F$5,ROUND(F182*$C$5/12,2),"")</f>
        <v/>
      </c>
      <c r="E183" s="18">
        <f>IF(174&lt;=$F$5,C183-D183,"")</f>
        <v/>
      </c>
      <c r="F183" s="18">
        <f>IF(174&lt;=$F$5,IF(174=$F$5,0,F182-E183),"")</f>
        <v/>
      </c>
    </row>
    <row r="184">
      <c r="A184" s="13">
        <f>IF(175&lt;=$F$5,175,"")</f>
        <v/>
      </c>
      <c r="B184" s="14">
        <f>IF(175&lt;=$F$5,DATE(YEAR($C$7),MONTH($C$7)+174,DAY($C$7)),"")</f>
        <v/>
      </c>
      <c r="C184" s="15">
        <f>IF(175&lt;=$F$5,$F$4,"")</f>
        <v/>
      </c>
      <c r="D184" s="15">
        <f>IF(175&lt;=$F$5,ROUND(F183*$C$5/12,2),"")</f>
        <v/>
      </c>
      <c r="E184" s="15">
        <f>IF(175&lt;=$F$5,C184-D184,"")</f>
        <v/>
      </c>
      <c r="F184" s="15">
        <f>IF(175&lt;=$F$5,IF(175=$F$5,0,F183-E184),"")</f>
        <v/>
      </c>
    </row>
    <row r="185">
      <c r="A185" s="16">
        <f>IF(176&lt;=$F$5,176,"")</f>
        <v/>
      </c>
      <c r="B185" s="17">
        <f>IF(176&lt;=$F$5,DATE(YEAR($C$7),MONTH($C$7)+175,DAY($C$7)),"")</f>
        <v/>
      </c>
      <c r="C185" s="18">
        <f>IF(176&lt;=$F$5,$F$4,"")</f>
        <v/>
      </c>
      <c r="D185" s="18">
        <f>IF(176&lt;=$F$5,ROUND(F184*$C$5/12,2),"")</f>
        <v/>
      </c>
      <c r="E185" s="18">
        <f>IF(176&lt;=$F$5,C185-D185,"")</f>
        <v/>
      </c>
      <c r="F185" s="18">
        <f>IF(176&lt;=$F$5,IF(176=$F$5,0,F184-E185),"")</f>
        <v/>
      </c>
    </row>
    <row r="186">
      <c r="A186" s="13">
        <f>IF(177&lt;=$F$5,177,"")</f>
        <v/>
      </c>
      <c r="B186" s="14">
        <f>IF(177&lt;=$F$5,DATE(YEAR($C$7),MONTH($C$7)+176,DAY($C$7)),"")</f>
        <v/>
      </c>
      <c r="C186" s="15">
        <f>IF(177&lt;=$F$5,$F$4,"")</f>
        <v/>
      </c>
      <c r="D186" s="15">
        <f>IF(177&lt;=$F$5,ROUND(F185*$C$5/12,2),"")</f>
        <v/>
      </c>
      <c r="E186" s="15">
        <f>IF(177&lt;=$F$5,C186-D186,"")</f>
        <v/>
      </c>
      <c r="F186" s="15">
        <f>IF(177&lt;=$F$5,IF(177=$F$5,0,F185-E186),"")</f>
        <v/>
      </c>
    </row>
    <row r="187">
      <c r="A187" s="16">
        <f>IF(178&lt;=$F$5,178,"")</f>
        <v/>
      </c>
      <c r="B187" s="17">
        <f>IF(178&lt;=$F$5,DATE(YEAR($C$7),MONTH($C$7)+177,DAY($C$7)),"")</f>
        <v/>
      </c>
      <c r="C187" s="18">
        <f>IF(178&lt;=$F$5,$F$4,"")</f>
        <v/>
      </c>
      <c r="D187" s="18">
        <f>IF(178&lt;=$F$5,ROUND(F186*$C$5/12,2),"")</f>
        <v/>
      </c>
      <c r="E187" s="18">
        <f>IF(178&lt;=$F$5,C187-D187,"")</f>
        <v/>
      </c>
      <c r="F187" s="18">
        <f>IF(178&lt;=$F$5,IF(178=$F$5,0,F186-E187),"")</f>
        <v/>
      </c>
    </row>
    <row r="188">
      <c r="A188" s="13">
        <f>IF(179&lt;=$F$5,179,"")</f>
        <v/>
      </c>
      <c r="B188" s="14">
        <f>IF(179&lt;=$F$5,DATE(YEAR($C$7),MONTH($C$7)+178,DAY($C$7)),"")</f>
        <v/>
      </c>
      <c r="C188" s="15">
        <f>IF(179&lt;=$F$5,$F$4,"")</f>
        <v/>
      </c>
      <c r="D188" s="15">
        <f>IF(179&lt;=$F$5,ROUND(F187*$C$5/12,2),"")</f>
        <v/>
      </c>
      <c r="E188" s="15">
        <f>IF(179&lt;=$F$5,C188-D188,"")</f>
        <v/>
      </c>
      <c r="F188" s="15">
        <f>IF(179&lt;=$F$5,IF(179=$F$5,0,F187-E188),"")</f>
        <v/>
      </c>
    </row>
    <row r="189">
      <c r="A189" s="16">
        <f>IF(180&lt;=$F$5,180,"")</f>
        <v/>
      </c>
      <c r="B189" s="17">
        <f>IF(180&lt;=$F$5,DATE(YEAR($C$7),MONTH($C$7)+179,DAY($C$7)),"")</f>
        <v/>
      </c>
      <c r="C189" s="18">
        <f>IF(180&lt;=$F$5,$F$4,"")</f>
        <v/>
      </c>
      <c r="D189" s="18">
        <f>IF(180&lt;=$F$5,ROUND(F188*$C$5/12,2),"")</f>
        <v/>
      </c>
      <c r="E189" s="18">
        <f>IF(180&lt;=$F$5,C189-D189,"")</f>
        <v/>
      </c>
      <c r="F189" s="18">
        <f>IF(180&lt;=$F$5,IF(180=$F$5,0,F188-E189),"")</f>
        <v/>
      </c>
    </row>
    <row r="190">
      <c r="A190" s="13">
        <f>IF(181&lt;=$F$5,181,"")</f>
        <v/>
      </c>
      <c r="B190" s="14">
        <f>IF(181&lt;=$F$5,DATE(YEAR($C$7),MONTH($C$7)+180,DAY($C$7)),"")</f>
        <v/>
      </c>
      <c r="C190" s="15">
        <f>IF(181&lt;=$F$5,$F$4,"")</f>
        <v/>
      </c>
      <c r="D190" s="15">
        <f>IF(181&lt;=$F$5,ROUND(F189*$C$5/12,2),"")</f>
        <v/>
      </c>
      <c r="E190" s="15">
        <f>IF(181&lt;=$F$5,C190-D190,"")</f>
        <v/>
      </c>
      <c r="F190" s="15">
        <f>IF(181&lt;=$F$5,IF(181=$F$5,0,F189-E190),"")</f>
        <v/>
      </c>
    </row>
    <row r="191">
      <c r="A191" s="16">
        <f>IF(182&lt;=$F$5,182,"")</f>
        <v/>
      </c>
      <c r="B191" s="17">
        <f>IF(182&lt;=$F$5,DATE(YEAR($C$7),MONTH($C$7)+181,DAY($C$7)),"")</f>
        <v/>
      </c>
      <c r="C191" s="18">
        <f>IF(182&lt;=$F$5,$F$4,"")</f>
        <v/>
      </c>
      <c r="D191" s="18">
        <f>IF(182&lt;=$F$5,ROUND(F190*$C$5/12,2),"")</f>
        <v/>
      </c>
      <c r="E191" s="18">
        <f>IF(182&lt;=$F$5,C191-D191,"")</f>
        <v/>
      </c>
      <c r="F191" s="18">
        <f>IF(182&lt;=$F$5,IF(182=$F$5,0,F190-E191),"")</f>
        <v/>
      </c>
    </row>
    <row r="192">
      <c r="A192" s="13">
        <f>IF(183&lt;=$F$5,183,"")</f>
        <v/>
      </c>
      <c r="B192" s="14">
        <f>IF(183&lt;=$F$5,DATE(YEAR($C$7),MONTH($C$7)+182,DAY($C$7)),"")</f>
        <v/>
      </c>
      <c r="C192" s="15">
        <f>IF(183&lt;=$F$5,$F$4,"")</f>
        <v/>
      </c>
      <c r="D192" s="15">
        <f>IF(183&lt;=$F$5,ROUND(F191*$C$5/12,2),"")</f>
        <v/>
      </c>
      <c r="E192" s="15">
        <f>IF(183&lt;=$F$5,C192-D192,"")</f>
        <v/>
      </c>
      <c r="F192" s="15">
        <f>IF(183&lt;=$F$5,IF(183=$F$5,0,F191-E192),"")</f>
        <v/>
      </c>
    </row>
    <row r="193">
      <c r="A193" s="16">
        <f>IF(184&lt;=$F$5,184,"")</f>
        <v/>
      </c>
      <c r="B193" s="17">
        <f>IF(184&lt;=$F$5,DATE(YEAR($C$7),MONTH($C$7)+183,DAY($C$7)),"")</f>
        <v/>
      </c>
      <c r="C193" s="18">
        <f>IF(184&lt;=$F$5,$F$4,"")</f>
        <v/>
      </c>
      <c r="D193" s="18">
        <f>IF(184&lt;=$F$5,ROUND(F192*$C$5/12,2),"")</f>
        <v/>
      </c>
      <c r="E193" s="18">
        <f>IF(184&lt;=$F$5,C193-D193,"")</f>
        <v/>
      </c>
      <c r="F193" s="18">
        <f>IF(184&lt;=$F$5,IF(184=$F$5,0,F192-E193),"")</f>
        <v/>
      </c>
    </row>
    <row r="194">
      <c r="A194" s="13">
        <f>IF(185&lt;=$F$5,185,"")</f>
        <v/>
      </c>
      <c r="B194" s="14">
        <f>IF(185&lt;=$F$5,DATE(YEAR($C$7),MONTH($C$7)+184,DAY($C$7)),"")</f>
        <v/>
      </c>
      <c r="C194" s="15">
        <f>IF(185&lt;=$F$5,$F$4,"")</f>
        <v/>
      </c>
      <c r="D194" s="15">
        <f>IF(185&lt;=$F$5,ROUND(F193*$C$5/12,2),"")</f>
        <v/>
      </c>
      <c r="E194" s="15">
        <f>IF(185&lt;=$F$5,C194-D194,"")</f>
        <v/>
      </c>
      <c r="F194" s="15">
        <f>IF(185&lt;=$F$5,IF(185=$F$5,0,F193-E194),"")</f>
        <v/>
      </c>
    </row>
    <row r="195">
      <c r="A195" s="16">
        <f>IF(186&lt;=$F$5,186,"")</f>
        <v/>
      </c>
      <c r="B195" s="17">
        <f>IF(186&lt;=$F$5,DATE(YEAR($C$7),MONTH($C$7)+185,DAY($C$7)),"")</f>
        <v/>
      </c>
      <c r="C195" s="18">
        <f>IF(186&lt;=$F$5,$F$4,"")</f>
        <v/>
      </c>
      <c r="D195" s="18">
        <f>IF(186&lt;=$F$5,ROUND(F194*$C$5/12,2),"")</f>
        <v/>
      </c>
      <c r="E195" s="18">
        <f>IF(186&lt;=$F$5,C195-D195,"")</f>
        <v/>
      </c>
      <c r="F195" s="18">
        <f>IF(186&lt;=$F$5,IF(186=$F$5,0,F194-E195),"")</f>
        <v/>
      </c>
    </row>
    <row r="196">
      <c r="A196" s="13">
        <f>IF(187&lt;=$F$5,187,"")</f>
        <v/>
      </c>
      <c r="B196" s="14">
        <f>IF(187&lt;=$F$5,DATE(YEAR($C$7),MONTH($C$7)+186,DAY($C$7)),"")</f>
        <v/>
      </c>
      <c r="C196" s="15">
        <f>IF(187&lt;=$F$5,$F$4,"")</f>
        <v/>
      </c>
      <c r="D196" s="15">
        <f>IF(187&lt;=$F$5,ROUND(F195*$C$5/12,2),"")</f>
        <v/>
      </c>
      <c r="E196" s="15">
        <f>IF(187&lt;=$F$5,C196-D196,"")</f>
        <v/>
      </c>
      <c r="F196" s="15">
        <f>IF(187&lt;=$F$5,IF(187=$F$5,0,F195-E196),"")</f>
        <v/>
      </c>
    </row>
    <row r="197">
      <c r="A197" s="16">
        <f>IF(188&lt;=$F$5,188,"")</f>
        <v/>
      </c>
      <c r="B197" s="17">
        <f>IF(188&lt;=$F$5,DATE(YEAR($C$7),MONTH($C$7)+187,DAY($C$7)),"")</f>
        <v/>
      </c>
      <c r="C197" s="18">
        <f>IF(188&lt;=$F$5,$F$4,"")</f>
        <v/>
      </c>
      <c r="D197" s="18">
        <f>IF(188&lt;=$F$5,ROUND(F196*$C$5/12,2),"")</f>
        <v/>
      </c>
      <c r="E197" s="18">
        <f>IF(188&lt;=$F$5,C197-D197,"")</f>
        <v/>
      </c>
      <c r="F197" s="18">
        <f>IF(188&lt;=$F$5,IF(188=$F$5,0,F196-E197),"")</f>
        <v/>
      </c>
    </row>
    <row r="198">
      <c r="A198" s="13">
        <f>IF(189&lt;=$F$5,189,"")</f>
        <v/>
      </c>
      <c r="B198" s="14">
        <f>IF(189&lt;=$F$5,DATE(YEAR($C$7),MONTH($C$7)+188,DAY($C$7)),"")</f>
        <v/>
      </c>
      <c r="C198" s="15">
        <f>IF(189&lt;=$F$5,$F$4,"")</f>
        <v/>
      </c>
      <c r="D198" s="15">
        <f>IF(189&lt;=$F$5,ROUND(F197*$C$5/12,2),"")</f>
        <v/>
      </c>
      <c r="E198" s="15">
        <f>IF(189&lt;=$F$5,C198-D198,"")</f>
        <v/>
      </c>
      <c r="F198" s="15">
        <f>IF(189&lt;=$F$5,IF(189=$F$5,0,F197-E198),"")</f>
        <v/>
      </c>
    </row>
    <row r="199">
      <c r="A199" s="16">
        <f>IF(190&lt;=$F$5,190,"")</f>
        <v/>
      </c>
      <c r="B199" s="17">
        <f>IF(190&lt;=$F$5,DATE(YEAR($C$7),MONTH($C$7)+189,DAY($C$7)),"")</f>
        <v/>
      </c>
      <c r="C199" s="18">
        <f>IF(190&lt;=$F$5,$F$4,"")</f>
        <v/>
      </c>
      <c r="D199" s="18">
        <f>IF(190&lt;=$F$5,ROUND(F198*$C$5/12,2),"")</f>
        <v/>
      </c>
      <c r="E199" s="18">
        <f>IF(190&lt;=$F$5,C199-D199,"")</f>
        <v/>
      </c>
      <c r="F199" s="18">
        <f>IF(190&lt;=$F$5,IF(190=$F$5,0,F198-E199),"")</f>
        <v/>
      </c>
    </row>
    <row r="200">
      <c r="A200" s="13">
        <f>IF(191&lt;=$F$5,191,"")</f>
        <v/>
      </c>
      <c r="B200" s="14">
        <f>IF(191&lt;=$F$5,DATE(YEAR($C$7),MONTH($C$7)+190,DAY($C$7)),"")</f>
        <v/>
      </c>
      <c r="C200" s="15">
        <f>IF(191&lt;=$F$5,$F$4,"")</f>
        <v/>
      </c>
      <c r="D200" s="15">
        <f>IF(191&lt;=$F$5,ROUND(F199*$C$5/12,2),"")</f>
        <v/>
      </c>
      <c r="E200" s="15">
        <f>IF(191&lt;=$F$5,C200-D200,"")</f>
        <v/>
      </c>
      <c r="F200" s="15">
        <f>IF(191&lt;=$F$5,IF(191=$F$5,0,F199-E200),"")</f>
        <v/>
      </c>
    </row>
    <row r="201">
      <c r="A201" s="16">
        <f>IF(192&lt;=$F$5,192,"")</f>
        <v/>
      </c>
      <c r="B201" s="17">
        <f>IF(192&lt;=$F$5,DATE(YEAR($C$7),MONTH($C$7)+191,DAY($C$7)),"")</f>
        <v/>
      </c>
      <c r="C201" s="18">
        <f>IF(192&lt;=$F$5,$F$4,"")</f>
        <v/>
      </c>
      <c r="D201" s="18">
        <f>IF(192&lt;=$F$5,ROUND(F200*$C$5/12,2),"")</f>
        <v/>
      </c>
      <c r="E201" s="18">
        <f>IF(192&lt;=$F$5,C201-D201,"")</f>
        <v/>
      </c>
      <c r="F201" s="18">
        <f>IF(192&lt;=$F$5,IF(192=$F$5,0,F200-E201),"")</f>
        <v/>
      </c>
    </row>
    <row r="202">
      <c r="A202" s="13">
        <f>IF(193&lt;=$F$5,193,"")</f>
        <v/>
      </c>
      <c r="B202" s="14">
        <f>IF(193&lt;=$F$5,DATE(YEAR($C$7),MONTH($C$7)+192,DAY($C$7)),"")</f>
        <v/>
      </c>
      <c r="C202" s="15">
        <f>IF(193&lt;=$F$5,$F$4,"")</f>
        <v/>
      </c>
      <c r="D202" s="15">
        <f>IF(193&lt;=$F$5,ROUND(F201*$C$5/12,2),"")</f>
        <v/>
      </c>
      <c r="E202" s="15">
        <f>IF(193&lt;=$F$5,C202-D202,"")</f>
        <v/>
      </c>
      <c r="F202" s="15">
        <f>IF(193&lt;=$F$5,IF(193=$F$5,0,F201-E202),"")</f>
        <v/>
      </c>
    </row>
    <row r="203">
      <c r="A203" s="16">
        <f>IF(194&lt;=$F$5,194,"")</f>
        <v/>
      </c>
      <c r="B203" s="17">
        <f>IF(194&lt;=$F$5,DATE(YEAR($C$7),MONTH($C$7)+193,DAY($C$7)),"")</f>
        <v/>
      </c>
      <c r="C203" s="18">
        <f>IF(194&lt;=$F$5,$F$4,"")</f>
        <v/>
      </c>
      <c r="D203" s="18">
        <f>IF(194&lt;=$F$5,ROUND(F202*$C$5/12,2),"")</f>
        <v/>
      </c>
      <c r="E203" s="18">
        <f>IF(194&lt;=$F$5,C203-D203,"")</f>
        <v/>
      </c>
      <c r="F203" s="18">
        <f>IF(194&lt;=$F$5,IF(194=$F$5,0,F202-E203),"")</f>
        <v/>
      </c>
    </row>
    <row r="204">
      <c r="A204" s="13">
        <f>IF(195&lt;=$F$5,195,"")</f>
        <v/>
      </c>
      <c r="B204" s="14">
        <f>IF(195&lt;=$F$5,DATE(YEAR($C$7),MONTH($C$7)+194,DAY($C$7)),"")</f>
        <v/>
      </c>
      <c r="C204" s="15">
        <f>IF(195&lt;=$F$5,$F$4,"")</f>
        <v/>
      </c>
      <c r="D204" s="15">
        <f>IF(195&lt;=$F$5,ROUND(F203*$C$5/12,2),"")</f>
        <v/>
      </c>
      <c r="E204" s="15">
        <f>IF(195&lt;=$F$5,C204-D204,"")</f>
        <v/>
      </c>
      <c r="F204" s="15">
        <f>IF(195&lt;=$F$5,IF(195=$F$5,0,F203-E204),"")</f>
        <v/>
      </c>
    </row>
    <row r="205">
      <c r="A205" s="16">
        <f>IF(196&lt;=$F$5,196,"")</f>
        <v/>
      </c>
      <c r="B205" s="17">
        <f>IF(196&lt;=$F$5,DATE(YEAR($C$7),MONTH($C$7)+195,DAY($C$7)),"")</f>
        <v/>
      </c>
      <c r="C205" s="18">
        <f>IF(196&lt;=$F$5,$F$4,"")</f>
        <v/>
      </c>
      <c r="D205" s="18">
        <f>IF(196&lt;=$F$5,ROUND(F204*$C$5/12,2),"")</f>
        <v/>
      </c>
      <c r="E205" s="18">
        <f>IF(196&lt;=$F$5,C205-D205,"")</f>
        <v/>
      </c>
      <c r="F205" s="18">
        <f>IF(196&lt;=$F$5,IF(196=$F$5,0,F204-E205),"")</f>
        <v/>
      </c>
    </row>
    <row r="206">
      <c r="A206" s="13">
        <f>IF(197&lt;=$F$5,197,"")</f>
        <v/>
      </c>
      <c r="B206" s="14">
        <f>IF(197&lt;=$F$5,DATE(YEAR($C$7),MONTH($C$7)+196,DAY($C$7)),"")</f>
        <v/>
      </c>
      <c r="C206" s="15">
        <f>IF(197&lt;=$F$5,$F$4,"")</f>
        <v/>
      </c>
      <c r="D206" s="15">
        <f>IF(197&lt;=$F$5,ROUND(F205*$C$5/12,2),"")</f>
        <v/>
      </c>
      <c r="E206" s="15">
        <f>IF(197&lt;=$F$5,C206-D206,"")</f>
        <v/>
      </c>
      <c r="F206" s="15">
        <f>IF(197&lt;=$F$5,IF(197=$F$5,0,F205-E206),"")</f>
        <v/>
      </c>
    </row>
    <row r="207">
      <c r="A207" s="16">
        <f>IF(198&lt;=$F$5,198,"")</f>
        <v/>
      </c>
      <c r="B207" s="17">
        <f>IF(198&lt;=$F$5,DATE(YEAR($C$7),MONTH($C$7)+197,DAY($C$7)),"")</f>
        <v/>
      </c>
      <c r="C207" s="18">
        <f>IF(198&lt;=$F$5,$F$4,"")</f>
        <v/>
      </c>
      <c r="D207" s="18">
        <f>IF(198&lt;=$F$5,ROUND(F206*$C$5/12,2),"")</f>
        <v/>
      </c>
      <c r="E207" s="18">
        <f>IF(198&lt;=$F$5,C207-D207,"")</f>
        <v/>
      </c>
      <c r="F207" s="18">
        <f>IF(198&lt;=$F$5,IF(198=$F$5,0,F206-E207),"")</f>
        <v/>
      </c>
    </row>
    <row r="208">
      <c r="A208" s="13">
        <f>IF(199&lt;=$F$5,199,"")</f>
        <v/>
      </c>
      <c r="B208" s="14">
        <f>IF(199&lt;=$F$5,DATE(YEAR($C$7),MONTH($C$7)+198,DAY($C$7)),"")</f>
        <v/>
      </c>
      <c r="C208" s="15">
        <f>IF(199&lt;=$F$5,$F$4,"")</f>
        <v/>
      </c>
      <c r="D208" s="15">
        <f>IF(199&lt;=$F$5,ROUND(F207*$C$5/12,2),"")</f>
        <v/>
      </c>
      <c r="E208" s="15">
        <f>IF(199&lt;=$F$5,C208-D208,"")</f>
        <v/>
      </c>
      <c r="F208" s="15">
        <f>IF(199&lt;=$F$5,IF(199=$F$5,0,F207-E208),"")</f>
        <v/>
      </c>
    </row>
    <row r="209">
      <c r="A209" s="16">
        <f>IF(200&lt;=$F$5,200,"")</f>
        <v/>
      </c>
      <c r="B209" s="17">
        <f>IF(200&lt;=$F$5,DATE(YEAR($C$7),MONTH($C$7)+199,DAY($C$7)),"")</f>
        <v/>
      </c>
      <c r="C209" s="18">
        <f>IF(200&lt;=$F$5,$F$4,"")</f>
        <v/>
      </c>
      <c r="D209" s="18">
        <f>IF(200&lt;=$F$5,ROUND(F208*$C$5/12,2),"")</f>
        <v/>
      </c>
      <c r="E209" s="18">
        <f>IF(200&lt;=$F$5,C209-D209,"")</f>
        <v/>
      </c>
      <c r="F209" s="18">
        <f>IF(200&lt;=$F$5,IF(200=$F$5,0,F208-E209),"")</f>
        <v/>
      </c>
    </row>
    <row r="210">
      <c r="A210" s="13">
        <f>IF(201&lt;=$F$5,201,"")</f>
        <v/>
      </c>
      <c r="B210" s="14">
        <f>IF(201&lt;=$F$5,DATE(YEAR($C$7),MONTH($C$7)+200,DAY($C$7)),"")</f>
        <v/>
      </c>
      <c r="C210" s="15">
        <f>IF(201&lt;=$F$5,$F$4,"")</f>
        <v/>
      </c>
      <c r="D210" s="15">
        <f>IF(201&lt;=$F$5,ROUND(F209*$C$5/12,2),"")</f>
        <v/>
      </c>
      <c r="E210" s="15">
        <f>IF(201&lt;=$F$5,C210-D210,"")</f>
        <v/>
      </c>
      <c r="F210" s="15">
        <f>IF(201&lt;=$F$5,IF(201=$F$5,0,F209-E210),"")</f>
        <v/>
      </c>
    </row>
    <row r="211">
      <c r="A211" s="16">
        <f>IF(202&lt;=$F$5,202,"")</f>
        <v/>
      </c>
      <c r="B211" s="17">
        <f>IF(202&lt;=$F$5,DATE(YEAR($C$7),MONTH($C$7)+201,DAY($C$7)),"")</f>
        <v/>
      </c>
      <c r="C211" s="18">
        <f>IF(202&lt;=$F$5,$F$4,"")</f>
        <v/>
      </c>
      <c r="D211" s="18">
        <f>IF(202&lt;=$F$5,ROUND(F210*$C$5/12,2),"")</f>
        <v/>
      </c>
      <c r="E211" s="18">
        <f>IF(202&lt;=$F$5,C211-D211,"")</f>
        <v/>
      </c>
      <c r="F211" s="18">
        <f>IF(202&lt;=$F$5,IF(202=$F$5,0,F210-E211),"")</f>
        <v/>
      </c>
    </row>
    <row r="212">
      <c r="A212" s="13">
        <f>IF(203&lt;=$F$5,203,"")</f>
        <v/>
      </c>
      <c r="B212" s="14">
        <f>IF(203&lt;=$F$5,DATE(YEAR($C$7),MONTH($C$7)+202,DAY($C$7)),"")</f>
        <v/>
      </c>
      <c r="C212" s="15">
        <f>IF(203&lt;=$F$5,$F$4,"")</f>
        <v/>
      </c>
      <c r="D212" s="15">
        <f>IF(203&lt;=$F$5,ROUND(F211*$C$5/12,2),"")</f>
        <v/>
      </c>
      <c r="E212" s="15">
        <f>IF(203&lt;=$F$5,C212-D212,"")</f>
        <v/>
      </c>
      <c r="F212" s="15">
        <f>IF(203&lt;=$F$5,IF(203=$F$5,0,F211-E212),"")</f>
        <v/>
      </c>
    </row>
    <row r="213">
      <c r="A213" s="16">
        <f>IF(204&lt;=$F$5,204,"")</f>
        <v/>
      </c>
      <c r="B213" s="17">
        <f>IF(204&lt;=$F$5,DATE(YEAR($C$7),MONTH($C$7)+203,DAY($C$7)),"")</f>
        <v/>
      </c>
      <c r="C213" s="18">
        <f>IF(204&lt;=$F$5,$F$4,"")</f>
        <v/>
      </c>
      <c r="D213" s="18">
        <f>IF(204&lt;=$F$5,ROUND(F212*$C$5/12,2),"")</f>
        <v/>
      </c>
      <c r="E213" s="18">
        <f>IF(204&lt;=$F$5,C213-D213,"")</f>
        <v/>
      </c>
      <c r="F213" s="18">
        <f>IF(204&lt;=$F$5,IF(204=$F$5,0,F212-E213),"")</f>
        <v/>
      </c>
    </row>
    <row r="214">
      <c r="A214" s="13">
        <f>IF(205&lt;=$F$5,205,"")</f>
        <v/>
      </c>
      <c r="B214" s="14">
        <f>IF(205&lt;=$F$5,DATE(YEAR($C$7),MONTH($C$7)+204,DAY($C$7)),"")</f>
        <v/>
      </c>
      <c r="C214" s="15">
        <f>IF(205&lt;=$F$5,$F$4,"")</f>
        <v/>
      </c>
      <c r="D214" s="15">
        <f>IF(205&lt;=$F$5,ROUND(F213*$C$5/12,2),"")</f>
        <v/>
      </c>
      <c r="E214" s="15">
        <f>IF(205&lt;=$F$5,C214-D214,"")</f>
        <v/>
      </c>
      <c r="F214" s="15">
        <f>IF(205&lt;=$F$5,IF(205=$F$5,0,F213-E214),"")</f>
        <v/>
      </c>
    </row>
    <row r="215">
      <c r="A215" s="16">
        <f>IF(206&lt;=$F$5,206,"")</f>
        <v/>
      </c>
      <c r="B215" s="17">
        <f>IF(206&lt;=$F$5,DATE(YEAR($C$7),MONTH($C$7)+205,DAY($C$7)),"")</f>
        <v/>
      </c>
      <c r="C215" s="18">
        <f>IF(206&lt;=$F$5,$F$4,"")</f>
        <v/>
      </c>
      <c r="D215" s="18">
        <f>IF(206&lt;=$F$5,ROUND(F214*$C$5/12,2),"")</f>
        <v/>
      </c>
      <c r="E215" s="18">
        <f>IF(206&lt;=$F$5,C215-D215,"")</f>
        <v/>
      </c>
      <c r="F215" s="18">
        <f>IF(206&lt;=$F$5,IF(206=$F$5,0,F214-E215),"")</f>
        <v/>
      </c>
    </row>
    <row r="216">
      <c r="A216" s="13">
        <f>IF(207&lt;=$F$5,207,"")</f>
        <v/>
      </c>
      <c r="B216" s="14">
        <f>IF(207&lt;=$F$5,DATE(YEAR($C$7),MONTH($C$7)+206,DAY($C$7)),"")</f>
        <v/>
      </c>
      <c r="C216" s="15">
        <f>IF(207&lt;=$F$5,$F$4,"")</f>
        <v/>
      </c>
      <c r="D216" s="15">
        <f>IF(207&lt;=$F$5,ROUND(F215*$C$5/12,2),"")</f>
        <v/>
      </c>
      <c r="E216" s="15">
        <f>IF(207&lt;=$F$5,C216-D216,"")</f>
        <v/>
      </c>
      <c r="F216" s="15">
        <f>IF(207&lt;=$F$5,IF(207=$F$5,0,F215-E216),"")</f>
        <v/>
      </c>
    </row>
    <row r="217">
      <c r="A217" s="16">
        <f>IF(208&lt;=$F$5,208,"")</f>
        <v/>
      </c>
      <c r="B217" s="17">
        <f>IF(208&lt;=$F$5,DATE(YEAR($C$7),MONTH($C$7)+207,DAY($C$7)),"")</f>
        <v/>
      </c>
      <c r="C217" s="18">
        <f>IF(208&lt;=$F$5,$F$4,"")</f>
        <v/>
      </c>
      <c r="D217" s="18">
        <f>IF(208&lt;=$F$5,ROUND(F216*$C$5/12,2),"")</f>
        <v/>
      </c>
      <c r="E217" s="18">
        <f>IF(208&lt;=$F$5,C217-D217,"")</f>
        <v/>
      </c>
      <c r="F217" s="18">
        <f>IF(208&lt;=$F$5,IF(208=$F$5,0,F216-E217),"")</f>
        <v/>
      </c>
    </row>
    <row r="218">
      <c r="A218" s="13">
        <f>IF(209&lt;=$F$5,209,"")</f>
        <v/>
      </c>
      <c r="B218" s="14">
        <f>IF(209&lt;=$F$5,DATE(YEAR($C$7),MONTH($C$7)+208,DAY($C$7)),"")</f>
        <v/>
      </c>
      <c r="C218" s="15">
        <f>IF(209&lt;=$F$5,$F$4,"")</f>
        <v/>
      </c>
      <c r="D218" s="15">
        <f>IF(209&lt;=$F$5,ROUND(F217*$C$5/12,2),"")</f>
        <v/>
      </c>
      <c r="E218" s="15">
        <f>IF(209&lt;=$F$5,C218-D218,"")</f>
        <v/>
      </c>
      <c r="F218" s="15">
        <f>IF(209&lt;=$F$5,IF(209=$F$5,0,F217-E218),"")</f>
        <v/>
      </c>
    </row>
    <row r="219">
      <c r="A219" s="16">
        <f>IF(210&lt;=$F$5,210,"")</f>
        <v/>
      </c>
      <c r="B219" s="17">
        <f>IF(210&lt;=$F$5,DATE(YEAR($C$7),MONTH($C$7)+209,DAY($C$7)),"")</f>
        <v/>
      </c>
      <c r="C219" s="18">
        <f>IF(210&lt;=$F$5,$F$4,"")</f>
        <v/>
      </c>
      <c r="D219" s="18">
        <f>IF(210&lt;=$F$5,ROUND(F218*$C$5/12,2),"")</f>
        <v/>
      </c>
      <c r="E219" s="18">
        <f>IF(210&lt;=$F$5,C219-D219,"")</f>
        <v/>
      </c>
      <c r="F219" s="18">
        <f>IF(210&lt;=$F$5,IF(210=$F$5,0,F218-E219),"")</f>
        <v/>
      </c>
    </row>
    <row r="220">
      <c r="A220" s="13">
        <f>IF(211&lt;=$F$5,211,"")</f>
        <v/>
      </c>
      <c r="B220" s="14">
        <f>IF(211&lt;=$F$5,DATE(YEAR($C$7),MONTH($C$7)+210,DAY($C$7)),"")</f>
        <v/>
      </c>
      <c r="C220" s="15">
        <f>IF(211&lt;=$F$5,$F$4,"")</f>
        <v/>
      </c>
      <c r="D220" s="15">
        <f>IF(211&lt;=$F$5,ROUND(F219*$C$5/12,2),"")</f>
        <v/>
      </c>
      <c r="E220" s="15">
        <f>IF(211&lt;=$F$5,C220-D220,"")</f>
        <v/>
      </c>
      <c r="F220" s="15">
        <f>IF(211&lt;=$F$5,IF(211=$F$5,0,F219-E220),"")</f>
        <v/>
      </c>
    </row>
    <row r="221">
      <c r="A221" s="16">
        <f>IF(212&lt;=$F$5,212,"")</f>
        <v/>
      </c>
      <c r="B221" s="17">
        <f>IF(212&lt;=$F$5,DATE(YEAR($C$7),MONTH($C$7)+211,DAY($C$7)),"")</f>
        <v/>
      </c>
      <c r="C221" s="18">
        <f>IF(212&lt;=$F$5,$F$4,"")</f>
        <v/>
      </c>
      <c r="D221" s="18">
        <f>IF(212&lt;=$F$5,ROUND(F220*$C$5/12,2),"")</f>
        <v/>
      </c>
      <c r="E221" s="18">
        <f>IF(212&lt;=$F$5,C221-D221,"")</f>
        <v/>
      </c>
      <c r="F221" s="18">
        <f>IF(212&lt;=$F$5,IF(212=$F$5,0,F220-E221),"")</f>
        <v/>
      </c>
    </row>
    <row r="222">
      <c r="A222" s="13">
        <f>IF(213&lt;=$F$5,213,"")</f>
        <v/>
      </c>
      <c r="B222" s="14">
        <f>IF(213&lt;=$F$5,DATE(YEAR($C$7),MONTH($C$7)+212,DAY($C$7)),"")</f>
        <v/>
      </c>
      <c r="C222" s="15">
        <f>IF(213&lt;=$F$5,$F$4,"")</f>
        <v/>
      </c>
      <c r="D222" s="15">
        <f>IF(213&lt;=$F$5,ROUND(F221*$C$5/12,2),"")</f>
        <v/>
      </c>
      <c r="E222" s="15">
        <f>IF(213&lt;=$F$5,C222-D222,"")</f>
        <v/>
      </c>
      <c r="F222" s="15">
        <f>IF(213&lt;=$F$5,IF(213=$F$5,0,F221-E222),"")</f>
        <v/>
      </c>
    </row>
    <row r="223">
      <c r="A223" s="16">
        <f>IF(214&lt;=$F$5,214,"")</f>
        <v/>
      </c>
      <c r="B223" s="17">
        <f>IF(214&lt;=$F$5,DATE(YEAR($C$7),MONTH($C$7)+213,DAY($C$7)),"")</f>
        <v/>
      </c>
      <c r="C223" s="18">
        <f>IF(214&lt;=$F$5,$F$4,"")</f>
        <v/>
      </c>
      <c r="D223" s="18">
        <f>IF(214&lt;=$F$5,ROUND(F222*$C$5/12,2),"")</f>
        <v/>
      </c>
      <c r="E223" s="18">
        <f>IF(214&lt;=$F$5,C223-D223,"")</f>
        <v/>
      </c>
      <c r="F223" s="18">
        <f>IF(214&lt;=$F$5,IF(214=$F$5,0,F222-E223),"")</f>
        <v/>
      </c>
    </row>
    <row r="224">
      <c r="A224" s="13">
        <f>IF(215&lt;=$F$5,215,"")</f>
        <v/>
      </c>
      <c r="B224" s="14">
        <f>IF(215&lt;=$F$5,DATE(YEAR($C$7),MONTH($C$7)+214,DAY($C$7)),"")</f>
        <v/>
      </c>
      <c r="C224" s="15">
        <f>IF(215&lt;=$F$5,$F$4,"")</f>
        <v/>
      </c>
      <c r="D224" s="15">
        <f>IF(215&lt;=$F$5,ROUND(F223*$C$5/12,2),"")</f>
        <v/>
      </c>
      <c r="E224" s="15">
        <f>IF(215&lt;=$F$5,C224-D224,"")</f>
        <v/>
      </c>
      <c r="F224" s="15">
        <f>IF(215&lt;=$F$5,IF(215=$F$5,0,F223-E224),"")</f>
        <v/>
      </c>
    </row>
    <row r="225">
      <c r="A225" s="16">
        <f>IF(216&lt;=$F$5,216,"")</f>
        <v/>
      </c>
      <c r="B225" s="17">
        <f>IF(216&lt;=$F$5,DATE(YEAR($C$7),MONTH($C$7)+215,DAY($C$7)),"")</f>
        <v/>
      </c>
      <c r="C225" s="18">
        <f>IF(216&lt;=$F$5,$F$4,"")</f>
        <v/>
      </c>
      <c r="D225" s="18">
        <f>IF(216&lt;=$F$5,ROUND(F224*$C$5/12,2),"")</f>
        <v/>
      </c>
      <c r="E225" s="18">
        <f>IF(216&lt;=$F$5,C225-D225,"")</f>
        <v/>
      </c>
      <c r="F225" s="18">
        <f>IF(216&lt;=$F$5,IF(216=$F$5,0,F224-E225),"")</f>
        <v/>
      </c>
    </row>
    <row r="226">
      <c r="A226" s="13">
        <f>IF(217&lt;=$F$5,217,"")</f>
        <v/>
      </c>
      <c r="B226" s="14">
        <f>IF(217&lt;=$F$5,DATE(YEAR($C$7),MONTH($C$7)+216,DAY($C$7)),"")</f>
        <v/>
      </c>
      <c r="C226" s="15">
        <f>IF(217&lt;=$F$5,$F$4,"")</f>
        <v/>
      </c>
      <c r="D226" s="15">
        <f>IF(217&lt;=$F$5,ROUND(F225*$C$5/12,2),"")</f>
        <v/>
      </c>
      <c r="E226" s="15">
        <f>IF(217&lt;=$F$5,C226-D226,"")</f>
        <v/>
      </c>
      <c r="F226" s="15">
        <f>IF(217&lt;=$F$5,IF(217=$F$5,0,F225-E226),"")</f>
        <v/>
      </c>
    </row>
    <row r="227">
      <c r="A227" s="16">
        <f>IF(218&lt;=$F$5,218,"")</f>
        <v/>
      </c>
      <c r="B227" s="17">
        <f>IF(218&lt;=$F$5,DATE(YEAR($C$7),MONTH($C$7)+217,DAY($C$7)),"")</f>
        <v/>
      </c>
      <c r="C227" s="18">
        <f>IF(218&lt;=$F$5,$F$4,"")</f>
        <v/>
      </c>
      <c r="D227" s="18">
        <f>IF(218&lt;=$F$5,ROUND(F226*$C$5/12,2),"")</f>
        <v/>
      </c>
      <c r="E227" s="18">
        <f>IF(218&lt;=$F$5,C227-D227,"")</f>
        <v/>
      </c>
      <c r="F227" s="18">
        <f>IF(218&lt;=$F$5,IF(218=$F$5,0,F226-E227),"")</f>
        <v/>
      </c>
    </row>
    <row r="228">
      <c r="A228" s="13">
        <f>IF(219&lt;=$F$5,219,"")</f>
        <v/>
      </c>
      <c r="B228" s="14">
        <f>IF(219&lt;=$F$5,DATE(YEAR($C$7),MONTH($C$7)+218,DAY($C$7)),"")</f>
        <v/>
      </c>
      <c r="C228" s="15">
        <f>IF(219&lt;=$F$5,$F$4,"")</f>
        <v/>
      </c>
      <c r="D228" s="15">
        <f>IF(219&lt;=$F$5,ROUND(F227*$C$5/12,2),"")</f>
        <v/>
      </c>
      <c r="E228" s="15">
        <f>IF(219&lt;=$F$5,C228-D228,"")</f>
        <v/>
      </c>
      <c r="F228" s="15">
        <f>IF(219&lt;=$F$5,IF(219=$F$5,0,F227-E228),"")</f>
        <v/>
      </c>
    </row>
    <row r="229">
      <c r="A229" s="16">
        <f>IF(220&lt;=$F$5,220,"")</f>
        <v/>
      </c>
      <c r="B229" s="17">
        <f>IF(220&lt;=$F$5,DATE(YEAR($C$7),MONTH($C$7)+219,DAY($C$7)),"")</f>
        <v/>
      </c>
      <c r="C229" s="18">
        <f>IF(220&lt;=$F$5,$F$4,"")</f>
        <v/>
      </c>
      <c r="D229" s="18">
        <f>IF(220&lt;=$F$5,ROUND(F228*$C$5/12,2),"")</f>
        <v/>
      </c>
      <c r="E229" s="18">
        <f>IF(220&lt;=$F$5,C229-D229,"")</f>
        <v/>
      </c>
      <c r="F229" s="18">
        <f>IF(220&lt;=$F$5,IF(220=$F$5,0,F228-E229),"")</f>
        <v/>
      </c>
    </row>
    <row r="230">
      <c r="A230" s="13">
        <f>IF(221&lt;=$F$5,221,"")</f>
        <v/>
      </c>
      <c r="B230" s="14">
        <f>IF(221&lt;=$F$5,DATE(YEAR($C$7),MONTH($C$7)+220,DAY($C$7)),"")</f>
        <v/>
      </c>
      <c r="C230" s="15">
        <f>IF(221&lt;=$F$5,$F$4,"")</f>
        <v/>
      </c>
      <c r="D230" s="15">
        <f>IF(221&lt;=$F$5,ROUND(F229*$C$5/12,2),"")</f>
        <v/>
      </c>
      <c r="E230" s="15">
        <f>IF(221&lt;=$F$5,C230-D230,"")</f>
        <v/>
      </c>
      <c r="F230" s="15">
        <f>IF(221&lt;=$F$5,IF(221=$F$5,0,F229-E230),"")</f>
        <v/>
      </c>
    </row>
    <row r="231">
      <c r="A231" s="16">
        <f>IF(222&lt;=$F$5,222,"")</f>
        <v/>
      </c>
      <c r="B231" s="17">
        <f>IF(222&lt;=$F$5,DATE(YEAR($C$7),MONTH($C$7)+221,DAY($C$7)),"")</f>
        <v/>
      </c>
      <c r="C231" s="18">
        <f>IF(222&lt;=$F$5,$F$4,"")</f>
        <v/>
      </c>
      <c r="D231" s="18">
        <f>IF(222&lt;=$F$5,ROUND(F230*$C$5/12,2),"")</f>
        <v/>
      </c>
      <c r="E231" s="18">
        <f>IF(222&lt;=$F$5,C231-D231,"")</f>
        <v/>
      </c>
      <c r="F231" s="18">
        <f>IF(222&lt;=$F$5,IF(222=$F$5,0,F230-E231),"")</f>
        <v/>
      </c>
    </row>
    <row r="232">
      <c r="A232" s="13">
        <f>IF(223&lt;=$F$5,223,"")</f>
        <v/>
      </c>
      <c r="B232" s="14">
        <f>IF(223&lt;=$F$5,DATE(YEAR($C$7),MONTH($C$7)+222,DAY($C$7)),"")</f>
        <v/>
      </c>
      <c r="C232" s="15">
        <f>IF(223&lt;=$F$5,$F$4,"")</f>
        <v/>
      </c>
      <c r="D232" s="15">
        <f>IF(223&lt;=$F$5,ROUND(F231*$C$5/12,2),"")</f>
        <v/>
      </c>
      <c r="E232" s="15">
        <f>IF(223&lt;=$F$5,C232-D232,"")</f>
        <v/>
      </c>
      <c r="F232" s="15">
        <f>IF(223&lt;=$F$5,IF(223=$F$5,0,F231-E232),"")</f>
        <v/>
      </c>
    </row>
    <row r="233">
      <c r="A233" s="16">
        <f>IF(224&lt;=$F$5,224,"")</f>
        <v/>
      </c>
      <c r="B233" s="17">
        <f>IF(224&lt;=$F$5,DATE(YEAR($C$7),MONTH($C$7)+223,DAY($C$7)),"")</f>
        <v/>
      </c>
      <c r="C233" s="18">
        <f>IF(224&lt;=$F$5,$F$4,"")</f>
        <v/>
      </c>
      <c r="D233" s="18">
        <f>IF(224&lt;=$F$5,ROUND(F232*$C$5/12,2),"")</f>
        <v/>
      </c>
      <c r="E233" s="18">
        <f>IF(224&lt;=$F$5,C233-D233,"")</f>
        <v/>
      </c>
      <c r="F233" s="18">
        <f>IF(224&lt;=$F$5,IF(224=$F$5,0,F232-E233),"")</f>
        <v/>
      </c>
    </row>
    <row r="234">
      <c r="A234" s="13">
        <f>IF(225&lt;=$F$5,225,"")</f>
        <v/>
      </c>
      <c r="B234" s="14">
        <f>IF(225&lt;=$F$5,DATE(YEAR($C$7),MONTH($C$7)+224,DAY($C$7)),"")</f>
        <v/>
      </c>
      <c r="C234" s="15">
        <f>IF(225&lt;=$F$5,$F$4,"")</f>
        <v/>
      </c>
      <c r="D234" s="15">
        <f>IF(225&lt;=$F$5,ROUND(F233*$C$5/12,2),"")</f>
        <v/>
      </c>
      <c r="E234" s="15">
        <f>IF(225&lt;=$F$5,C234-D234,"")</f>
        <v/>
      </c>
      <c r="F234" s="15">
        <f>IF(225&lt;=$F$5,IF(225=$F$5,0,F233-E234),"")</f>
        <v/>
      </c>
    </row>
    <row r="235">
      <c r="A235" s="16">
        <f>IF(226&lt;=$F$5,226,"")</f>
        <v/>
      </c>
      <c r="B235" s="17">
        <f>IF(226&lt;=$F$5,DATE(YEAR($C$7),MONTH($C$7)+225,DAY($C$7)),"")</f>
        <v/>
      </c>
      <c r="C235" s="18">
        <f>IF(226&lt;=$F$5,$F$4,"")</f>
        <v/>
      </c>
      <c r="D235" s="18">
        <f>IF(226&lt;=$F$5,ROUND(F234*$C$5/12,2),"")</f>
        <v/>
      </c>
      <c r="E235" s="18">
        <f>IF(226&lt;=$F$5,C235-D235,"")</f>
        <v/>
      </c>
      <c r="F235" s="18">
        <f>IF(226&lt;=$F$5,IF(226=$F$5,0,F234-E235),"")</f>
        <v/>
      </c>
    </row>
    <row r="236">
      <c r="A236" s="13">
        <f>IF(227&lt;=$F$5,227,"")</f>
        <v/>
      </c>
      <c r="B236" s="14">
        <f>IF(227&lt;=$F$5,DATE(YEAR($C$7),MONTH($C$7)+226,DAY($C$7)),"")</f>
        <v/>
      </c>
      <c r="C236" s="15">
        <f>IF(227&lt;=$F$5,$F$4,"")</f>
        <v/>
      </c>
      <c r="D236" s="15">
        <f>IF(227&lt;=$F$5,ROUND(F235*$C$5/12,2),"")</f>
        <v/>
      </c>
      <c r="E236" s="15">
        <f>IF(227&lt;=$F$5,C236-D236,"")</f>
        <v/>
      </c>
      <c r="F236" s="15">
        <f>IF(227&lt;=$F$5,IF(227=$F$5,0,F235-E236),"")</f>
        <v/>
      </c>
    </row>
    <row r="237">
      <c r="A237" s="16">
        <f>IF(228&lt;=$F$5,228,"")</f>
        <v/>
      </c>
      <c r="B237" s="17">
        <f>IF(228&lt;=$F$5,DATE(YEAR($C$7),MONTH($C$7)+227,DAY($C$7)),"")</f>
        <v/>
      </c>
      <c r="C237" s="18">
        <f>IF(228&lt;=$F$5,$F$4,"")</f>
        <v/>
      </c>
      <c r="D237" s="18">
        <f>IF(228&lt;=$F$5,ROUND(F236*$C$5/12,2),"")</f>
        <v/>
      </c>
      <c r="E237" s="18">
        <f>IF(228&lt;=$F$5,C237-D237,"")</f>
        <v/>
      </c>
      <c r="F237" s="18">
        <f>IF(228&lt;=$F$5,IF(228=$F$5,0,F236-E237),"")</f>
        <v/>
      </c>
    </row>
    <row r="238">
      <c r="A238" s="13">
        <f>IF(229&lt;=$F$5,229,"")</f>
        <v/>
      </c>
      <c r="B238" s="14">
        <f>IF(229&lt;=$F$5,DATE(YEAR($C$7),MONTH($C$7)+228,DAY($C$7)),"")</f>
        <v/>
      </c>
      <c r="C238" s="15">
        <f>IF(229&lt;=$F$5,$F$4,"")</f>
        <v/>
      </c>
      <c r="D238" s="15">
        <f>IF(229&lt;=$F$5,ROUND(F237*$C$5/12,2),"")</f>
        <v/>
      </c>
      <c r="E238" s="15">
        <f>IF(229&lt;=$F$5,C238-D238,"")</f>
        <v/>
      </c>
      <c r="F238" s="15">
        <f>IF(229&lt;=$F$5,IF(229=$F$5,0,F237-E238),"")</f>
        <v/>
      </c>
    </row>
    <row r="239">
      <c r="A239" s="16">
        <f>IF(230&lt;=$F$5,230,"")</f>
        <v/>
      </c>
      <c r="B239" s="17">
        <f>IF(230&lt;=$F$5,DATE(YEAR($C$7),MONTH($C$7)+229,DAY($C$7)),"")</f>
        <v/>
      </c>
      <c r="C239" s="18">
        <f>IF(230&lt;=$F$5,$F$4,"")</f>
        <v/>
      </c>
      <c r="D239" s="18">
        <f>IF(230&lt;=$F$5,ROUND(F238*$C$5/12,2),"")</f>
        <v/>
      </c>
      <c r="E239" s="18">
        <f>IF(230&lt;=$F$5,C239-D239,"")</f>
        <v/>
      </c>
      <c r="F239" s="18">
        <f>IF(230&lt;=$F$5,IF(230=$F$5,0,F238-E239),"")</f>
        <v/>
      </c>
    </row>
    <row r="240">
      <c r="A240" s="13">
        <f>IF(231&lt;=$F$5,231,"")</f>
        <v/>
      </c>
      <c r="B240" s="14">
        <f>IF(231&lt;=$F$5,DATE(YEAR($C$7),MONTH($C$7)+230,DAY($C$7)),"")</f>
        <v/>
      </c>
      <c r="C240" s="15">
        <f>IF(231&lt;=$F$5,$F$4,"")</f>
        <v/>
      </c>
      <c r="D240" s="15">
        <f>IF(231&lt;=$F$5,ROUND(F239*$C$5/12,2),"")</f>
        <v/>
      </c>
      <c r="E240" s="15">
        <f>IF(231&lt;=$F$5,C240-D240,"")</f>
        <v/>
      </c>
      <c r="F240" s="15">
        <f>IF(231&lt;=$F$5,IF(231=$F$5,0,F239-E240),"")</f>
        <v/>
      </c>
    </row>
    <row r="241">
      <c r="A241" s="16">
        <f>IF(232&lt;=$F$5,232,"")</f>
        <v/>
      </c>
      <c r="B241" s="17">
        <f>IF(232&lt;=$F$5,DATE(YEAR($C$7),MONTH($C$7)+231,DAY($C$7)),"")</f>
        <v/>
      </c>
      <c r="C241" s="18">
        <f>IF(232&lt;=$F$5,$F$4,"")</f>
        <v/>
      </c>
      <c r="D241" s="18">
        <f>IF(232&lt;=$F$5,ROUND(F240*$C$5/12,2),"")</f>
        <v/>
      </c>
      <c r="E241" s="18">
        <f>IF(232&lt;=$F$5,C241-D241,"")</f>
        <v/>
      </c>
      <c r="F241" s="18">
        <f>IF(232&lt;=$F$5,IF(232=$F$5,0,F240-E241),"")</f>
        <v/>
      </c>
    </row>
    <row r="242">
      <c r="A242" s="13">
        <f>IF(233&lt;=$F$5,233,"")</f>
        <v/>
      </c>
      <c r="B242" s="14">
        <f>IF(233&lt;=$F$5,DATE(YEAR($C$7),MONTH($C$7)+232,DAY($C$7)),"")</f>
        <v/>
      </c>
      <c r="C242" s="15">
        <f>IF(233&lt;=$F$5,$F$4,"")</f>
        <v/>
      </c>
      <c r="D242" s="15">
        <f>IF(233&lt;=$F$5,ROUND(F241*$C$5/12,2),"")</f>
        <v/>
      </c>
      <c r="E242" s="15">
        <f>IF(233&lt;=$F$5,C242-D242,"")</f>
        <v/>
      </c>
      <c r="F242" s="15">
        <f>IF(233&lt;=$F$5,IF(233=$F$5,0,F241-E242),"")</f>
        <v/>
      </c>
    </row>
    <row r="243">
      <c r="A243" s="16">
        <f>IF(234&lt;=$F$5,234,"")</f>
        <v/>
      </c>
      <c r="B243" s="17">
        <f>IF(234&lt;=$F$5,DATE(YEAR($C$7),MONTH($C$7)+233,DAY($C$7)),"")</f>
        <v/>
      </c>
      <c r="C243" s="18">
        <f>IF(234&lt;=$F$5,$F$4,"")</f>
        <v/>
      </c>
      <c r="D243" s="18">
        <f>IF(234&lt;=$F$5,ROUND(F242*$C$5/12,2),"")</f>
        <v/>
      </c>
      <c r="E243" s="18">
        <f>IF(234&lt;=$F$5,C243-D243,"")</f>
        <v/>
      </c>
      <c r="F243" s="18">
        <f>IF(234&lt;=$F$5,IF(234=$F$5,0,F242-E243),"")</f>
        <v/>
      </c>
    </row>
    <row r="244">
      <c r="A244" s="13">
        <f>IF(235&lt;=$F$5,235,"")</f>
        <v/>
      </c>
      <c r="B244" s="14">
        <f>IF(235&lt;=$F$5,DATE(YEAR($C$7),MONTH($C$7)+234,DAY($C$7)),"")</f>
        <v/>
      </c>
      <c r="C244" s="15">
        <f>IF(235&lt;=$F$5,$F$4,"")</f>
        <v/>
      </c>
      <c r="D244" s="15">
        <f>IF(235&lt;=$F$5,ROUND(F243*$C$5/12,2),"")</f>
        <v/>
      </c>
      <c r="E244" s="15">
        <f>IF(235&lt;=$F$5,C244-D244,"")</f>
        <v/>
      </c>
      <c r="F244" s="15">
        <f>IF(235&lt;=$F$5,IF(235=$F$5,0,F243-E244),"")</f>
        <v/>
      </c>
    </row>
    <row r="245">
      <c r="A245" s="16">
        <f>IF(236&lt;=$F$5,236,"")</f>
        <v/>
      </c>
      <c r="B245" s="17">
        <f>IF(236&lt;=$F$5,DATE(YEAR($C$7),MONTH($C$7)+235,DAY($C$7)),"")</f>
        <v/>
      </c>
      <c r="C245" s="18">
        <f>IF(236&lt;=$F$5,$F$4,"")</f>
        <v/>
      </c>
      <c r="D245" s="18">
        <f>IF(236&lt;=$F$5,ROUND(F244*$C$5/12,2),"")</f>
        <v/>
      </c>
      <c r="E245" s="18">
        <f>IF(236&lt;=$F$5,C245-D245,"")</f>
        <v/>
      </c>
      <c r="F245" s="18">
        <f>IF(236&lt;=$F$5,IF(236=$F$5,0,F244-E245),"")</f>
        <v/>
      </c>
    </row>
    <row r="246">
      <c r="A246" s="13">
        <f>IF(237&lt;=$F$5,237,"")</f>
        <v/>
      </c>
      <c r="B246" s="14">
        <f>IF(237&lt;=$F$5,DATE(YEAR($C$7),MONTH($C$7)+236,DAY($C$7)),"")</f>
        <v/>
      </c>
      <c r="C246" s="15">
        <f>IF(237&lt;=$F$5,$F$4,"")</f>
        <v/>
      </c>
      <c r="D246" s="15">
        <f>IF(237&lt;=$F$5,ROUND(F245*$C$5/12,2),"")</f>
        <v/>
      </c>
      <c r="E246" s="15">
        <f>IF(237&lt;=$F$5,C246-D246,"")</f>
        <v/>
      </c>
      <c r="F246" s="15">
        <f>IF(237&lt;=$F$5,IF(237=$F$5,0,F245-E246),"")</f>
        <v/>
      </c>
    </row>
    <row r="247">
      <c r="A247" s="16">
        <f>IF(238&lt;=$F$5,238,"")</f>
        <v/>
      </c>
      <c r="B247" s="17">
        <f>IF(238&lt;=$F$5,DATE(YEAR($C$7),MONTH($C$7)+237,DAY($C$7)),"")</f>
        <v/>
      </c>
      <c r="C247" s="18">
        <f>IF(238&lt;=$F$5,$F$4,"")</f>
        <v/>
      </c>
      <c r="D247" s="18">
        <f>IF(238&lt;=$F$5,ROUND(F246*$C$5/12,2),"")</f>
        <v/>
      </c>
      <c r="E247" s="18">
        <f>IF(238&lt;=$F$5,C247-D247,"")</f>
        <v/>
      </c>
      <c r="F247" s="18">
        <f>IF(238&lt;=$F$5,IF(238=$F$5,0,F246-E247),"")</f>
        <v/>
      </c>
    </row>
    <row r="248">
      <c r="A248" s="13">
        <f>IF(239&lt;=$F$5,239,"")</f>
        <v/>
      </c>
      <c r="B248" s="14">
        <f>IF(239&lt;=$F$5,DATE(YEAR($C$7),MONTH($C$7)+238,DAY($C$7)),"")</f>
        <v/>
      </c>
      <c r="C248" s="15">
        <f>IF(239&lt;=$F$5,$F$4,"")</f>
        <v/>
      </c>
      <c r="D248" s="15">
        <f>IF(239&lt;=$F$5,ROUND(F247*$C$5/12,2),"")</f>
        <v/>
      </c>
      <c r="E248" s="15">
        <f>IF(239&lt;=$F$5,C248-D248,"")</f>
        <v/>
      </c>
      <c r="F248" s="15">
        <f>IF(239&lt;=$F$5,IF(239=$F$5,0,F247-E248),"")</f>
        <v/>
      </c>
    </row>
    <row r="249">
      <c r="A249" s="16">
        <f>IF(240&lt;=$F$5,240,"")</f>
        <v/>
      </c>
      <c r="B249" s="17">
        <f>IF(240&lt;=$F$5,DATE(YEAR($C$7),MONTH($C$7)+239,DAY($C$7)),"")</f>
        <v/>
      </c>
      <c r="C249" s="18">
        <f>IF(240&lt;=$F$5,$F$4,"")</f>
        <v/>
      </c>
      <c r="D249" s="18">
        <f>IF(240&lt;=$F$5,ROUND(F248*$C$5/12,2),"")</f>
        <v/>
      </c>
      <c r="E249" s="18">
        <f>IF(240&lt;=$F$5,C249-D249,"")</f>
        <v/>
      </c>
      <c r="F249" s="18">
        <f>IF(240&lt;=$F$5,IF(240=$F$5,0,F248-E249),"")</f>
        <v/>
      </c>
    </row>
    <row r="250">
      <c r="A250" s="13">
        <f>IF(241&lt;=$F$5,241,"")</f>
        <v/>
      </c>
      <c r="B250" s="14">
        <f>IF(241&lt;=$F$5,DATE(YEAR($C$7),MONTH($C$7)+240,DAY($C$7)),"")</f>
        <v/>
      </c>
      <c r="C250" s="15">
        <f>IF(241&lt;=$F$5,$F$4,"")</f>
        <v/>
      </c>
      <c r="D250" s="15">
        <f>IF(241&lt;=$F$5,ROUND(F249*$C$5/12,2),"")</f>
        <v/>
      </c>
      <c r="E250" s="15">
        <f>IF(241&lt;=$F$5,C250-D250,"")</f>
        <v/>
      </c>
      <c r="F250" s="15">
        <f>IF(241&lt;=$F$5,IF(241=$F$5,0,F249-E250),"")</f>
        <v/>
      </c>
    </row>
    <row r="251">
      <c r="A251" s="16">
        <f>IF(242&lt;=$F$5,242,"")</f>
        <v/>
      </c>
      <c r="B251" s="17">
        <f>IF(242&lt;=$F$5,DATE(YEAR($C$7),MONTH($C$7)+241,DAY($C$7)),"")</f>
        <v/>
      </c>
      <c r="C251" s="18">
        <f>IF(242&lt;=$F$5,$F$4,"")</f>
        <v/>
      </c>
      <c r="D251" s="18">
        <f>IF(242&lt;=$F$5,ROUND(F250*$C$5/12,2),"")</f>
        <v/>
      </c>
      <c r="E251" s="18">
        <f>IF(242&lt;=$F$5,C251-D251,"")</f>
        <v/>
      </c>
      <c r="F251" s="18">
        <f>IF(242&lt;=$F$5,IF(242=$F$5,0,F250-E251),"")</f>
        <v/>
      </c>
    </row>
    <row r="252">
      <c r="A252" s="13">
        <f>IF(243&lt;=$F$5,243,"")</f>
        <v/>
      </c>
      <c r="B252" s="14">
        <f>IF(243&lt;=$F$5,DATE(YEAR($C$7),MONTH($C$7)+242,DAY($C$7)),"")</f>
        <v/>
      </c>
      <c r="C252" s="15">
        <f>IF(243&lt;=$F$5,$F$4,"")</f>
        <v/>
      </c>
      <c r="D252" s="15">
        <f>IF(243&lt;=$F$5,ROUND(F251*$C$5/12,2),"")</f>
        <v/>
      </c>
      <c r="E252" s="15">
        <f>IF(243&lt;=$F$5,C252-D252,"")</f>
        <v/>
      </c>
      <c r="F252" s="15">
        <f>IF(243&lt;=$F$5,IF(243=$F$5,0,F251-E252),"")</f>
        <v/>
      </c>
    </row>
    <row r="253">
      <c r="A253" s="16">
        <f>IF(244&lt;=$F$5,244,"")</f>
        <v/>
      </c>
      <c r="B253" s="17">
        <f>IF(244&lt;=$F$5,DATE(YEAR($C$7),MONTH($C$7)+243,DAY($C$7)),"")</f>
        <v/>
      </c>
      <c r="C253" s="18">
        <f>IF(244&lt;=$F$5,$F$4,"")</f>
        <v/>
      </c>
      <c r="D253" s="18">
        <f>IF(244&lt;=$F$5,ROUND(F252*$C$5/12,2),"")</f>
        <v/>
      </c>
      <c r="E253" s="18">
        <f>IF(244&lt;=$F$5,C253-D253,"")</f>
        <v/>
      </c>
      <c r="F253" s="18">
        <f>IF(244&lt;=$F$5,IF(244=$F$5,0,F252-E253),"")</f>
        <v/>
      </c>
    </row>
    <row r="254">
      <c r="A254" s="13">
        <f>IF(245&lt;=$F$5,245,"")</f>
        <v/>
      </c>
      <c r="B254" s="14">
        <f>IF(245&lt;=$F$5,DATE(YEAR($C$7),MONTH($C$7)+244,DAY($C$7)),"")</f>
        <v/>
      </c>
      <c r="C254" s="15">
        <f>IF(245&lt;=$F$5,$F$4,"")</f>
        <v/>
      </c>
      <c r="D254" s="15">
        <f>IF(245&lt;=$F$5,ROUND(F253*$C$5/12,2),"")</f>
        <v/>
      </c>
      <c r="E254" s="15">
        <f>IF(245&lt;=$F$5,C254-D254,"")</f>
        <v/>
      </c>
      <c r="F254" s="15">
        <f>IF(245&lt;=$F$5,IF(245=$F$5,0,F253-E254),"")</f>
        <v/>
      </c>
    </row>
    <row r="255">
      <c r="A255" s="16">
        <f>IF(246&lt;=$F$5,246,"")</f>
        <v/>
      </c>
      <c r="B255" s="17">
        <f>IF(246&lt;=$F$5,DATE(YEAR($C$7),MONTH($C$7)+245,DAY($C$7)),"")</f>
        <v/>
      </c>
      <c r="C255" s="18">
        <f>IF(246&lt;=$F$5,$F$4,"")</f>
        <v/>
      </c>
      <c r="D255" s="18">
        <f>IF(246&lt;=$F$5,ROUND(F254*$C$5/12,2),"")</f>
        <v/>
      </c>
      <c r="E255" s="18">
        <f>IF(246&lt;=$F$5,C255-D255,"")</f>
        <v/>
      </c>
      <c r="F255" s="18">
        <f>IF(246&lt;=$F$5,IF(246=$F$5,0,F254-E255),"")</f>
        <v/>
      </c>
    </row>
    <row r="256">
      <c r="A256" s="13">
        <f>IF(247&lt;=$F$5,247,"")</f>
        <v/>
      </c>
      <c r="B256" s="14">
        <f>IF(247&lt;=$F$5,DATE(YEAR($C$7),MONTH($C$7)+246,DAY($C$7)),"")</f>
        <v/>
      </c>
      <c r="C256" s="15">
        <f>IF(247&lt;=$F$5,$F$4,"")</f>
        <v/>
      </c>
      <c r="D256" s="15">
        <f>IF(247&lt;=$F$5,ROUND(F255*$C$5/12,2),"")</f>
        <v/>
      </c>
      <c r="E256" s="15">
        <f>IF(247&lt;=$F$5,C256-D256,"")</f>
        <v/>
      </c>
      <c r="F256" s="15">
        <f>IF(247&lt;=$F$5,IF(247=$F$5,0,F255-E256),"")</f>
        <v/>
      </c>
    </row>
    <row r="257">
      <c r="A257" s="16">
        <f>IF(248&lt;=$F$5,248,"")</f>
        <v/>
      </c>
      <c r="B257" s="17">
        <f>IF(248&lt;=$F$5,DATE(YEAR($C$7),MONTH($C$7)+247,DAY($C$7)),"")</f>
        <v/>
      </c>
      <c r="C257" s="18">
        <f>IF(248&lt;=$F$5,$F$4,"")</f>
        <v/>
      </c>
      <c r="D257" s="18">
        <f>IF(248&lt;=$F$5,ROUND(F256*$C$5/12,2),"")</f>
        <v/>
      </c>
      <c r="E257" s="18">
        <f>IF(248&lt;=$F$5,C257-D257,"")</f>
        <v/>
      </c>
      <c r="F257" s="18">
        <f>IF(248&lt;=$F$5,IF(248=$F$5,0,F256-E257),"")</f>
        <v/>
      </c>
    </row>
    <row r="258">
      <c r="A258" s="13">
        <f>IF(249&lt;=$F$5,249,"")</f>
        <v/>
      </c>
      <c r="B258" s="14">
        <f>IF(249&lt;=$F$5,DATE(YEAR($C$7),MONTH($C$7)+248,DAY($C$7)),"")</f>
        <v/>
      </c>
      <c r="C258" s="15">
        <f>IF(249&lt;=$F$5,$F$4,"")</f>
        <v/>
      </c>
      <c r="D258" s="15">
        <f>IF(249&lt;=$F$5,ROUND(F257*$C$5/12,2),"")</f>
        <v/>
      </c>
      <c r="E258" s="15">
        <f>IF(249&lt;=$F$5,C258-D258,"")</f>
        <v/>
      </c>
      <c r="F258" s="15">
        <f>IF(249&lt;=$F$5,IF(249=$F$5,0,F257-E258),"")</f>
        <v/>
      </c>
    </row>
    <row r="259">
      <c r="A259" s="16">
        <f>IF(250&lt;=$F$5,250,"")</f>
        <v/>
      </c>
      <c r="B259" s="17">
        <f>IF(250&lt;=$F$5,DATE(YEAR($C$7),MONTH($C$7)+249,DAY($C$7)),"")</f>
        <v/>
      </c>
      <c r="C259" s="18">
        <f>IF(250&lt;=$F$5,$F$4,"")</f>
        <v/>
      </c>
      <c r="D259" s="18">
        <f>IF(250&lt;=$F$5,ROUND(F258*$C$5/12,2),"")</f>
        <v/>
      </c>
      <c r="E259" s="18">
        <f>IF(250&lt;=$F$5,C259-D259,"")</f>
        <v/>
      </c>
      <c r="F259" s="18">
        <f>IF(250&lt;=$F$5,IF(250=$F$5,0,F258-E259),"")</f>
        <v/>
      </c>
    </row>
    <row r="260">
      <c r="A260" s="13">
        <f>IF(251&lt;=$F$5,251,"")</f>
        <v/>
      </c>
      <c r="B260" s="14">
        <f>IF(251&lt;=$F$5,DATE(YEAR($C$7),MONTH($C$7)+250,DAY($C$7)),"")</f>
        <v/>
      </c>
      <c r="C260" s="15">
        <f>IF(251&lt;=$F$5,$F$4,"")</f>
        <v/>
      </c>
      <c r="D260" s="15">
        <f>IF(251&lt;=$F$5,ROUND(F259*$C$5/12,2),"")</f>
        <v/>
      </c>
      <c r="E260" s="15">
        <f>IF(251&lt;=$F$5,C260-D260,"")</f>
        <v/>
      </c>
      <c r="F260" s="15">
        <f>IF(251&lt;=$F$5,IF(251=$F$5,0,F259-E260),"")</f>
        <v/>
      </c>
    </row>
    <row r="261">
      <c r="A261" s="16">
        <f>IF(252&lt;=$F$5,252,"")</f>
        <v/>
      </c>
      <c r="B261" s="17">
        <f>IF(252&lt;=$F$5,DATE(YEAR($C$7),MONTH($C$7)+251,DAY($C$7)),"")</f>
        <v/>
      </c>
      <c r="C261" s="18">
        <f>IF(252&lt;=$F$5,$F$4,"")</f>
        <v/>
      </c>
      <c r="D261" s="18">
        <f>IF(252&lt;=$F$5,ROUND(F260*$C$5/12,2),"")</f>
        <v/>
      </c>
      <c r="E261" s="18">
        <f>IF(252&lt;=$F$5,C261-D261,"")</f>
        <v/>
      </c>
      <c r="F261" s="18">
        <f>IF(252&lt;=$F$5,IF(252=$F$5,0,F260-E261),"")</f>
        <v/>
      </c>
    </row>
    <row r="262">
      <c r="A262" s="13">
        <f>IF(253&lt;=$F$5,253,"")</f>
        <v/>
      </c>
      <c r="B262" s="14">
        <f>IF(253&lt;=$F$5,DATE(YEAR($C$7),MONTH($C$7)+252,DAY($C$7)),"")</f>
        <v/>
      </c>
      <c r="C262" s="15">
        <f>IF(253&lt;=$F$5,$F$4,"")</f>
        <v/>
      </c>
      <c r="D262" s="15">
        <f>IF(253&lt;=$F$5,ROUND(F261*$C$5/12,2),"")</f>
        <v/>
      </c>
      <c r="E262" s="15">
        <f>IF(253&lt;=$F$5,C262-D262,"")</f>
        <v/>
      </c>
      <c r="F262" s="15">
        <f>IF(253&lt;=$F$5,IF(253=$F$5,0,F261-E262),"")</f>
        <v/>
      </c>
    </row>
    <row r="263">
      <c r="A263" s="16">
        <f>IF(254&lt;=$F$5,254,"")</f>
        <v/>
      </c>
      <c r="B263" s="17">
        <f>IF(254&lt;=$F$5,DATE(YEAR($C$7),MONTH($C$7)+253,DAY($C$7)),"")</f>
        <v/>
      </c>
      <c r="C263" s="18">
        <f>IF(254&lt;=$F$5,$F$4,"")</f>
        <v/>
      </c>
      <c r="D263" s="18">
        <f>IF(254&lt;=$F$5,ROUND(F262*$C$5/12,2),"")</f>
        <v/>
      </c>
      <c r="E263" s="18">
        <f>IF(254&lt;=$F$5,C263-D263,"")</f>
        <v/>
      </c>
      <c r="F263" s="18">
        <f>IF(254&lt;=$F$5,IF(254=$F$5,0,F262-E263),"")</f>
        <v/>
      </c>
    </row>
    <row r="264">
      <c r="A264" s="13">
        <f>IF(255&lt;=$F$5,255,"")</f>
        <v/>
      </c>
      <c r="B264" s="14">
        <f>IF(255&lt;=$F$5,DATE(YEAR($C$7),MONTH($C$7)+254,DAY($C$7)),"")</f>
        <v/>
      </c>
      <c r="C264" s="15">
        <f>IF(255&lt;=$F$5,$F$4,"")</f>
        <v/>
      </c>
      <c r="D264" s="15">
        <f>IF(255&lt;=$F$5,ROUND(F263*$C$5/12,2),"")</f>
        <v/>
      </c>
      <c r="E264" s="15">
        <f>IF(255&lt;=$F$5,C264-D264,"")</f>
        <v/>
      </c>
      <c r="F264" s="15">
        <f>IF(255&lt;=$F$5,IF(255=$F$5,0,F263-E264),"")</f>
        <v/>
      </c>
    </row>
    <row r="265">
      <c r="A265" s="16">
        <f>IF(256&lt;=$F$5,256,"")</f>
        <v/>
      </c>
      <c r="B265" s="17">
        <f>IF(256&lt;=$F$5,DATE(YEAR($C$7),MONTH($C$7)+255,DAY($C$7)),"")</f>
        <v/>
      </c>
      <c r="C265" s="18">
        <f>IF(256&lt;=$F$5,$F$4,"")</f>
        <v/>
      </c>
      <c r="D265" s="18">
        <f>IF(256&lt;=$F$5,ROUND(F264*$C$5/12,2),"")</f>
        <v/>
      </c>
      <c r="E265" s="18">
        <f>IF(256&lt;=$F$5,C265-D265,"")</f>
        <v/>
      </c>
      <c r="F265" s="18">
        <f>IF(256&lt;=$F$5,IF(256=$F$5,0,F264-E265),"")</f>
        <v/>
      </c>
    </row>
    <row r="266">
      <c r="A266" s="13">
        <f>IF(257&lt;=$F$5,257,"")</f>
        <v/>
      </c>
      <c r="B266" s="14">
        <f>IF(257&lt;=$F$5,DATE(YEAR($C$7),MONTH($C$7)+256,DAY($C$7)),"")</f>
        <v/>
      </c>
      <c r="C266" s="15">
        <f>IF(257&lt;=$F$5,$F$4,"")</f>
        <v/>
      </c>
      <c r="D266" s="15">
        <f>IF(257&lt;=$F$5,ROUND(F265*$C$5/12,2),"")</f>
        <v/>
      </c>
      <c r="E266" s="15">
        <f>IF(257&lt;=$F$5,C266-D266,"")</f>
        <v/>
      </c>
      <c r="F266" s="15">
        <f>IF(257&lt;=$F$5,IF(257=$F$5,0,F265-E266),"")</f>
        <v/>
      </c>
    </row>
    <row r="267">
      <c r="A267" s="16">
        <f>IF(258&lt;=$F$5,258,"")</f>
        <v/>
      </c>
      <c r="B267" s="17">
        <f>IF(258&lt;=$F$5,DATE(YEAR($C$7),MONTH($C$7)+257,DAY($C$7)),"")</f>
        <v/>
      </c>
      <c r="C267" s="18">
        <f>IF(258&lt;=$F$5,$F$4,"")</f>
        <v/>
      </c>
      <c r="D267" s="18">
        <f>IF(258&lt;=$F$5,ROUND(F266*$C$5/12,2),"")</f>
        <v/>
      </c>
      <c r="E267" s="18">
        <f>IF(258&lt;=$F$5,C267-D267,"")</f>
        <v/>
      </c>
      <c r="F267" s="18">
        <f>IF(258&lt;=$F$5,IF(258=$F$5,0,F266-E267),"")</f>
        <v/>
      </c>
    </row>
    <row r="268">
      <c r="A268" s="13">
        <f>IF(259&lt;=$F$5,259,"")</f>
        <v/>
      </c>
      <c r="B268" s="14">
        <f>IF(259&lt;=$F$5,DATE(YEAR($C$7),MONTH($C$7)+258,DAY($C$7)),"")</f>
        <v/>
      </c>
      <c r="C268" s="15">
        <f>IF(259&lt;=$F$5,$F$4,"")</f>
        <v/>
      </c>
      <c r="D268" s="15">
        <f>IF(259&lt;=$F$5,ROUND(F267*$C$5/12,2),"")</f>
        <v/>
      </c>
      <c r="E268" s="15">
        <f>IF(259&lt;=$F$5,C268-D268,"")</f>
        <v/>
      </c>
      <c r="F268" s="15">
        <f>IF(259&lt;=$F$5,IF(259=$F$5,0,F267-E268),"")</f>
        <v/>
      </c>
    </row>
    <row r="269">
      <c r="A269" s="16">
        <f>IF(260&lt;=$F$5,260,"")</f>
        <v/>
      </c>
      <c r="B269" s="17">
        <f>IF(260&lt;=$F$5,DATE(YEAR($C$7),MONTH($C$7)+259,DAY($C$7)),"")</f>
        <v/>
      </c>
      <c r="C269" s="18">
        <f>IF(260&lt;=$F$5,$F$4,"")</f>
        <v/>
      </c>
      <c r="D269" s="18">
        <f>IF(260&lt;=$F$5,ROUND(F268*$C$5/12,2),"")</f>
        <v/>
      </c>
      <c r="E269" s="18">
        <f>IF(260&lt;=$F$5,C269-D269,"")</f>
        <v/>
      </c>
      <c r="F269" s="18">
        <f>IF(260&lt;=$F$5,IF(260=$F$5,0,F268-E269),"")</f>
        <v/>
      </c>
    </row>
    <row r="270">
      <c r="A270" s="13">
        <f>IF(261&lt;=$F$5,261,"")</f>
        <v/>
      </c>
      <c r="B270" s="14">
        <f>IF(261&lt;=$F$5,DATE(YEAR($C$7),MONTH($C$7)+260,DAY($C$7)),"")</f>
        <v/>
      </c>
      <c r="C270" s="15">
        <f>IF(261&lt;=$F$5,$F$4,"")</f>
        <v/>
      </c>
      <c r="D270" s="15">
        <f>IF(261&lt;=$F$5,ROUND(F269*$C$5/12,2),"")</f>
        <v/>
      </c>
      <c r="E270" s="15">
        <f>IF(261&lt;=$F$5,C270-D270,"")</f>
        <v/>
      </c>
      <c r="F270" s="15">
        <f>IF(261&lt;=$F$5,IF(261=$F$5,0,F269-E270),"")</f>
        <v/>
      </c>
    </row>
    <row r="271">
      <c r="A271" s="16">
        <f>IF(262&lt;=$F$5,262,"")</f>
        <v/>
      </c>
      <c r="B271" s="17">
        <f>IF(262&lt;=$F$5,DATE(YEAR($C$7),MONTH($C$7)+261,DAY($C$7)),"")</f>
        <v/>
      </c>
      <c r="C271" s="18">
        <f>IF(262&lt;=$F$5,$F$4,"")</f>
        <v/>
      </c>
      <c r="D271" s="18">
        <f>IF(262&lt;=$F$5,ROUND(F270*$C$5/12,2),"")</f>
        <v/>
      </c>
      <c r="E271" s="18">
        <f>IF(262&lt;=$F$5,C271-D271,"")</f>
        <v/>
      </c>
      <c r="F271" s="18">
        <f>IF(262&lt;=$F$5,IF(262=$F$5,0,F270-E271),"")</f>
        <v/>
      </c>
    </row>
    <row r="272">
      <c r="A272" s="13">
        <f>IF(263&lt;=$F$5,263,"")</f>
        <v/>
      </c>
      <c r="B272" s="14">
        <f>IF(263&lt;=$F$5,DATE(YEAR($C$7),MONTH($C$7)+262,DAY($C$7)),"")</f>
        <v/>
      </c>
      <c r="C272" s="15">
        <f>IF(263&lt;=$F$5,$F$4,"")</f>
        <v/>
      </c>
      <c r="D272" s="15">
        <f>IF(263&lt;=$F$5,ROUND(F271*$C$5/12,2),"")</f>
        <v/>
      </c>
      <c r="E272" s="15">
        <f>IF(263&lt;=$F$5,C272-D272,"")</f>
        <v/>
      </c>
      <c r="F272" s="15">
        <f>IF(263&lt;=$F$5,IF(263=$F$5,0,F271-E272),"")</f>
        <v/>
      </c>
    </row>
    <row r="273">
      <c r="A273" s="16">
        <f>IF(264&lt;=$F$5,264,"")</f>
        <v/>
      </c>
      <c r="B273" s="17">
        <f>IF(264&lt;=$F$5,DATE(YEAR($C$7),MONTH($C$7)+263,DAY($C$7)),"")</f>
        <v/>
      </c>
      <c r="C273" s="18">
        <f>IF(264&lt;=$F$5,$F$4,"")</f>
        <v/>
      </c>
      <c r="D273" s="18">
        <f>IF(264&lt;=$F$5,ROUND(F272*$C$5/12,2),"")</f>
        <v/>
      </c>
      <c r="E273" s="18">
        <f>IF(264&lt;=$F$5,C273-D273,"")</f>
        <v/>
      </c>
      <c r="F273" s="18">
        <f>IF(264&lt;=$F$5,IF(264=$F$5,0,F272-E273),"")</f>
        <v/>
      </c>
    </row>
    <row r="274">
      <c r="A274" s="13">
        <f>IF(265&lt;=$F$5,265,"")</f>
        <v/>
      </c>
      <c r="B274" s="14">
        <f>IF(265&lt;=$F$5,DATE(YEAR($C$7),MONTH($C$7)+264,DAY($C$7)),"")</f>
        <v/>
      </c>
      <c r="C274" s="15">
        <f>IF(265&lt;=$F$5,$F$4,"")</f>
        <v/>
      </c>
      <c r="D274" s="15">
        <f>IF(265&lt;=$F$5,ROUND(F273*$C$5/12,2),"")</f>
        <v/>
      </c>
      <c r="E274" s="15">
        <f>IF(265&lt;=$F$5,C274-D274,"")</f>
        <v/>
      </c>
      <c r="F274" s="15">
        <f>IF(265&lt;=$F$5,IF(265=$F$5,0,F273-E274),"")</f>
        <v/>
      </c>
    </row>
    <row r="275">
      <c r="A275" s="16">
        <f>IF(266&lt;=$F$5,266,"")</f>
        <v/>
      </c>
      <c r="B275" s="17">
        <f>IF(266&lt;=$F$5,DATE(YEAR($C$7),MONTH($C$7)+265,DAY($C$7)),"")</f>
        <v/>
      </c>
      <c r="C275" s="18">
        <f>IF(266&lt;=$F$5,$F$4,"")</f>
        <v/>
      </c>
      <c r="D275" s="18">
        <f>IF(266&lt;=$F$5,ROUND(F274*$C$5/12,2),"")</f>
        <v/>
      </c>
      <c r="E275" s="18">
        <f>IF(266&lt;=$F$5,C275-D275,"")</f>
        <v/>
      </c>
      <c r="F275" s="18">
        <f>IF(266&lt;=$F$5,IF(266=$F$5,0,F274-E275),"")</f>
        <v/>
      </c>
    </row>
    <row r="276">
      <c r="A276" s="13">
        <f>IF(267&lt;=$F$5,267,"")</f>
        <v/>
      </c>
      <c r="B276" s="14">
        <f>IF(267&lt;=$F$5,DATE(YEAR($C$7),MONTH($C$7)+266,DAY($C$7)),"")</f>
        <v/>
      </c>
      <c r="C276" s="15">
        <f>IF(267&lt;=$F$5,$F$4,"")</f>
        <v/>
      </c>
      <c r="D276" s="15">
        <f>IF(267&lt;=$F$5,ROUND(F275*$C$5/12,2),"")</f>
        <v/>
      </c>
      <c r="E276" s="15">
        <f>IF(267&lt;=$F$5,C276-D276,"")</f>
        <v/>
      </c>
      <c r="F276" s="15">
        <f>IF(267&lt;=$F$5,IF(267=$F$5,0,F275-E276),"")</f>
        <v/>
      </c>
    </row>
    <row r="277">
      <c r="A277" s="16">
        <f>IF(268&lt;=$F$5,268,"")</f>
        <v/>
      </c>
      <c r="B277" s="17">
        <f>IF(268&lt;=$F$5,DATE(YEAR($C$7),MONTH($C$7)+267,DAY($C$7)),"")</f>
        <v/>
      </c>
      <c r="C277" s="18">
        <f>IF(268&lt;=$F$5,$F$4,"")</f>
        <v/>
      </c>
      <c r="D277" s="18">
        <f>IF(268&lt;=$F$5,ROUND(F276*$C$5/12,2),"")</f>
        <v/>
      </c>
      <c r="E277" s="18">
        <f>IF(268&lt;=$F$5,C277-D277,"")</f>
        <v/>
      </c>
      <c r="F277" s="18">
        <f>IF(268&lt;=$F$5,IF(268=$F$5,0,F276-E277),"")</f>
        <v/>
      </c>
    </row>
    <row r="278">
      <c r="A278" s="13">
        <f>IF(269&lt;=$F$5,269,"")</f>
        <v/>
      </c>
      <c r="B278" s="14">
        <f>IF(269&lt;=$F$5,DATE(YEAR($C$7),MONTH($C$7)+268,DAY($C$7)),"")</f>
        <v/>
      </c>
      <c r="C278" s="15">
        <f>IF(269&lt;=$F$5,$F$4,"")</f>
        <v/>
      </c>
      <c r="D278" s="15">
        <f>IF(269&lt;=$F$5,ROUND(F277*$C$5/12,2),"")</f>
        <v/>
      </c>
      <c r="E278" s="15">
        <f>IF(269&lt;=$F$5,C278-D278,"")</f>
        <v/>
      </c>
      <c r="F278" s="15">
        <f>IF(269&lt;=$F$5,IF(269=$F$5,0,F277-E278),"")</f>
        <v/>
      </c>
    </row>
    <row r="279">
      <c r="A279" s="16">
        <f>IF(270&lt;=$F$5,270,"")</f>
        <v/>
      </c>
      <c r="B279" s="17">
        <f>IF(270&lt;=$F$5,DATE(YEAR($C$7),MONTH($C$7)+269,DAY($C$7)),"")</f>
        <v/>
      </c>
      <c r="C279" s="18">
        <f>IF(270&lt;=$F$5,$F$4,"")</f>
        <v/>
      </c>
      <c r="D279" s="18">
        <f>IF(270&lt;=$F$5,ROUND(F278*$C$5/12,2),"")</f>
        <v/>
      </c>
      <c r="E279" s="18">
        <f>IF(270&lt;=$F$5,C279-D279,"")</f>
        <v/>
      </c>
      <c r="F279" s="18">
        <f>IF(270&lt;=$F$5,IF(270=$F$5,0,F278-E279),"")</f>
        <v/>
      </c>
    </row>
    <row r="280">
      <c r="A280" s="13">
        <f>IF(271&lt;=$F$5,271,"")</f>
        <v/>
      </c>
      <c r="B280" s="14">
        <f>IF(271&lt;=$F$5,DATE(YEAR($C$7),MONTH($C$7)+270,DAY($C$7)),"")</f>
        <v/>
      </c>
      <c r="C280" s="15">
        <f>IF(271&lt;=$F$5,$F$4,"")</f>
        <v/>
      </c>
      <c r="D280" s="15">
        <f>IF(271&lt;=$F$5,ROUND(F279*$C$5/12,2),"")</f>
        <v/>
      </c>
      <c r="E280" s="15">
        <f>IF(271&lt;=$F$5,C280-D280,"")</f>
        <v/>
      </c>
      <c r="F280" s="15">
        <f>IF(271&lt;=$F$5,IF(271=$F$5,0,F279-E280),"")</f>
        <v/>
      </c>
    </row>
    <row r="281">
      <c r="A281" s="16">
        <f>IF(272&lt;=$F$5,272,"")</f>
        <v/>
      </c>
      <c r="B281" s="17">
        <f>IF(272&lt;=$F$5,DATE(YEAR($C$7),MONTH($C$7)+271,DAY($C$7)),"")</f>
        <v/>
      </c>
      <c r="C281" s="18">
        <f>IF(272&lt;=$F$5,$F$4,"")</f>
        <v/>
      </c>
      <c r="D281" s="18">
        <f>IF(272&lt;=$F$5,ROUND(F280*$C$5/12,2),"")</f>
        <v/>
      </c>
      <c r="E281" s="18">
        <f>IF(272&lt;=$F$5,C281-D281,"")</f>
        <v/>
      </c>
      <c r="F281" s="18">
        <f>IF(272&lt;=$F$5,IF(272=$F$5,0,F280-E281),"")</f>
        <v/>
      </c>
    </row>
    <row r="282">
      <c r="A282" s="13">
        <f>IF(273&lt;=$F$5,273,"")</f>
        <v/>
      </c>
      <c r="B282" s="14">
        <f>IF(273&lt;=$F$5,DATE(YEAR($C$7),MONTH($C$7)+272,DAY($C$7)),"")</f>
        <v/>
      </c>
      <c r="C282" s="15">
        <f>IF(273&lt;=$F$5,$F$4,"")</f>
        <v/>
      </c>
      <c r="D282" s="15">
        <f>IF(273&lt;=$F$5,ROUND(F281*$C$5/12,2),"")</f>
        <v/>
      </c>
      <c r="E282" s="15">
        <f>IF(273&lt;=$F$5,C282-D282,"")</f>
        <v/>
      </c>
      <c r="F282" s="15">
        <f>IF(273&lt;=$F$5,IF(273=$F$5,0,F281-E282),"")</f>
        <v/>
      </c>
    </row>
    <row r="283">
      <c r="A283" s="16">
        <f>IF(274&lt;=$F$5,274,"")</f>
        <v/>
      </c>
      <c r="B283" s="17">
        <f>IF(274&lt;=$F$5,DATE(YEAR($C$7),MONTH($C$7)+273,DAY($C$7)),"")</f>
        <v/>
      </c>
      <c r="C283" s="18">
        <f>IF(274&lt;=$F$5,$F$4,"")</f>
        <v/>
      </c>
      <c r="D283" s="18">
        <f>IF(274&lt;=$F$5,ROUND(F282*$C$5/12,2),"")</f>
        <v/>
      </c>
      <c r="E283" s="18">
        <f>IF(274&lt;=$F$5,C283-D283,"")</f>
        <v/>
      </c>
      <c r="F283" s="18">
        <f>IF(274&lt;=$F$5,IF(274=$F$5,0,F282-E283),"")</f>
        <v/>
      </c>
    </row>
    <row r="284">
      <c r="A284" s="13">
        <f>IF(275&lt;=$F$5,275,"")</f>
        <v/>
      </c>
      <c r="B284" s="14">
        <f>IF(275&lt;=$F$5,DATE(YEAR($C$7),MONTH($C$7)+274,DAY($C$7)),"")</f>
        <v/>
      </c>
      <c r="C284" s="15">
        <f>IF(275&lt;=$F$5,$F$4,"")</f>
        <v/>
      </c>
      <c r="D284" s="15">
        <f>IF(275&lt;=$F$5,ROUND(F283*$C$5/12,2),"")</f>
        <v/>
      </c>
      <c r="E284" s="15">
        <f>IF(275&lt;=$F$5,C284-D284,"")</f>
        <v/>
      </c>
      <c r="F284" s="15">
        <f>IF(275&lt;=$F$5,IF(275=$F$5,0,F283-E284),"")</f>
        <v/>
      </c>
    </row>
    <row r="285">
      <c r="A285" s="16">
        <f>IF(276&lt;=$F$5,276,"")</f>
        <v/>
      </c>
      <c r="B285" s="17">
        <f>IF(276&lt;=$F$5,DATE(YEAR($C$7),MONTH($C$7)+275,DAY($C$7)),"")</f>
        <v/>
      </c>
      <c r="C285" s="18">
        <f>IF(276&lt;=$F$5,$F$4,"")</f>
        <v/>
      </c>
      <c r="D285" s="18">
        <f>IF(276&lt;=$F$5,ROUND(F284*$C$5/12,2),"")</f>
        <v/>
      </c>
      <c r="E285" s="18">
        <f>IF(276&lt;=$F$5,C285-D285,"")</f>
        <v/>
      </c>
      <c r="F285" s="18">
        <f>IF(276&lt;=$F$5,IF(276=$F$5,0,F284-E285),"")</f>
        <v/>
      </c>
    </row>
    <row r="286">
      <c r="A286" s="13">
        <f>IF(277&lt;=$F$5,277,"")</f>
        <v/>
      </c>
      <c r="B286" s="14">
        <f>IF(277&lt;=$F$5,DATE(YEAR($C$7),MONTH($C$7)+276,DAY($C$7)),"")</f>
        <v/>
      </c>
      <c r="C286" s="15">
        <f>IF(277&lt;=$F$5,$F$4,"")</f>
        <v/>
      </c>
      <c r="D286" s="15">
        <f>IF(277&lt;=$F$5,ROUND(F285*$C$5/12,2),"")</f>
        <v/>
      </c>
      <c r="E286" s="15">
        <f>IF(277&lt;=$F$5,C286-D286,"")</f>
        <v/>
      </c>
      <c r="F286" s="15">
        <f>IF(277&lt;=$F$5,IF(277=$F$5,0,F285-E286),"")</f>
        <v/>
      </c>
    </row>
    <row r="287">
      <c r="A287" s="16">
        <f>IF(278&lt;=$F$5,278,"")</f>
        <v/>
      </c>
      <c r="B287" s="17">
        <f>IF(278&lt;=$F$5,DATE(YEAR($C$7),MONTH($C$7)+277,DAY($C$7)),"")</f>
        <v/>
      </c>
      <c r="C287" s="18">
        <f>IF(278&lt;=$F$5,$F$4,"")</f>
        <v/>
      </c>
      <c r="D287" s="18">
        <f>IF(278&lt;=$F$5,ROUND(F286*$C$5/12,2),"")</f>
        <v/>
      </c>
      <c r="E287" s="18">
        <f>IF(278&lt;=$F$5,C287-D287,"")</f>
        <v/>
      </c>
      <c r="F287" s="18">
        <f>IF(278&lt;=$F$5,IF(278=$F$5,0,F286-E287),"")</f>
        <v/>
      </c>
    </row>
    <row r="288">
      <c r="A288" s="13">
        <f>IF(279&lt;=$F$5,279,"")</f>
        <v/>
      </c>
      <c r="B288" s="14">
        <f>IF(279&lt;=$F$5,DATE(YEAR($C$7),MONTH($C$7)+278,DAY($C$7)),"")</f>
        <v/>
      </c>
      <c r="C288" s="15">
        <f>IF(279&lt;=$F$5,$F$4,"")</f>
        <v/>
      </c>
      <c r="D288" s="15">
        <f>IF(279&lt;=$F$5,ROUND(F287*$C$5/12,2),"")</f>
        <v/>
      </c>
      <c r="E288" s="15">
        <f>IF(279&lt;=$F$5,C288-D288,"")</f>
        <v/>
      </c>
      <c r="F288" s="15">
        <f>IF(279&lt;=$F$5,IF(279=$F$5,0,F287-E288),"")</f>
        <v/>
      </c>
    </row>
    <row r="289">
      <c r="A289" s="16">
        <f>IF(280&lt;=$F$5,280,"")</f>
        <v/>
      </c>
      <c r="B289" s="17">
        <f>IF(280&lt;=$F$5,DATE(YEAR($C$7),MONTH($C$7)+279,DAY($C$7)),"")</f>
        <v/>
      </c>
      <c r="C289" s="18">
        <f>IF(280&lt;=$F$5,$F$4,"")</f>
        <v/>
      </c>
      <c r="D289" s="18">
        <f>IF(280&lt;=$F$5,ROUND(F288*$C$5/12,2),"")</f>
        <v/>
      </c>
      <c r="E289" s="18">
        <f>IF(280&lt;=$F$5,C289-D289,"")</f>
        <v/>
      </c>
      <c r="F289" s="18">
        <f>IF(280&lt;=$F$5,IF(280=$F$5,0,F288-E289),"")</f>
        <v/>
      </c>
    </row>
    <row r="290">
      <c r="A290" s="13">
        <f>IF(281&lt;=$F$5,281,"")</f>
        <v/>
      </c>
      <c r="B290" s="14">
        <f>IF(281&lt;=$F$5,DATE(YEAR($C$7),MONTH($C$7)+280,DAY($C$7)),"")</f>
        <v/>
      </c>
      <c r="C290" s="15">
        <f>IF(281&lt;=$F$5,$F$4,"")</f>
        <v/>
      </c>
      <c r="D290" s="15">
        <f>IF(281&lt;=$F$5,ROUND(F289*$C$5/12,2),"")</f>
        <v/>
      </c>
      <c r="E290" s="15">
        <f>IF(281&lt;=$F$5,C290-D290,"")</f>
        <v/>
      </c>
      <c r="F290" s="15">
        <f>IF(281&lt;=$F$5,IF(281=$F$5,0,F289-E290),"")</f>
        <v/>
      </c>
    </row>
    <row r="291">
      <c r="A291" s="16">
        <f>IF(282&lt;=$F$5,282,"")</f>
        <v/>
      </c>
      <c r="B291" s="17">
        <f>IF(282&lt;=$F$5,DATE(YEAR($C$7),MONTH($C$7)+281,DAY($C$7)),"")</f>
        <v/>
      </c>
      <c r="C291" s="18">
        <f>IF(282&lt;=$F$5,$F$4,"")</f>
        <v/>
      </c>
      <c r="D291" s="18">
        <f>IF(282&lt;=$F$5,ROUND(F290*$C$5/12,2),"")</f>
        <v/>
      </c>
      <c r="E291" s="18">
        <f>IF(282&lt;=$F$5,C291-D291,"")</f>
        <v/>
      </c>
      <c r="F291" s="18">
        <f>IF(282&lt;=$F$5,IF(282=$F$5,0,F290-E291),"")</f>
        <v/>
      </c>
    </row>
    <row r="292">
      <c r="A292" s="13">
        <f>IF(283&lt;=$F$5,283,"")</f>
        <v/>
      </c>
      <c r="B292" s="14">
        <f>IF(283&lt;=$F$5,DATE(YEAR($C$7),MONTH($C$7)+282,DAY($C$7)),"")</f>
        <v/>
      </c>
      <c r="C292" s="15">
        <f>IF(283&lt;=$F$5,$F$4,"")</f>
        <v/>
      </c>
      <c r="D292" s="15">
        <f>IF(283&lt;=$F$5,ROUND(F291*$C$5/12,2),"")</f>
        <v/>
      </c>
      <c r="E292" s="15">
        <f>IF(283&lt;=$F$5,C292-D292,"")</f>
        <v/>
      </c>
      <c r="F292" s="15">
        <f>IF(283&lt;=$F$5,IF(283=$F$5,0,F291-E292),"")</f>
        <v/>
      </c>
    </row>
    <row r="293">
      <c r="A293" s="16">
        <f>IF(284&lt;=$F$5,284,"")</f>
        <v/>
      </c>
      <c r="B293" s="17">
        <f>IF(284&lt;=$F$5,DATE(YEAR($C$7),MONTH($C$7)+283,DAY($C$7)),"")</f>
        <v/>
      </c>
      <c r="C293" s="18">
        <f>IF(284&lt;=$F$5,$F$4,"")</f>
        <v/>
      </c>
      <c r="D293" s="18">
        <f>IF(284&lt;=$F$5,ROUND(F292*$C$5/12,2),"")</f>
        <v/>
      </c>
      <c r="E293" s="18">
        <f>IF(284&lt;=$F$5,C293-D293,"")</f>
        <v/>
      </c>
      <c r="F293" s="18">
        <f>IF(284&lt;=$F$5,IF(284=$F$5,0,F292-E293),"")</f>
        <v/>
      </c>
    </row>
    <row r="294">
      <c r="A294" s="13">
        <f>IF(285&lt;=$F$5,285,"")</f>
        <v/>
      </c>
      <c r="B294" s="14">
        <f>IF(285&lt;=$F$5,DATE(YEAR($C$7),MONTH($C$7)+284,DAY($C$7)),"")</f>
        <v/>
      </c>
      <c r="C294" s="15">
        <f>IF(285&lt;=$F$5,$F$4,"")</f>
        <v/>
      </c>
      <c r="D294" s="15">
        <f>IF(285&lt;=$F$5,ROUND(F293*$C$5/12,2),"")</f>
        <v/>
      </c>
      <c r="E294" s="15">
        <f>IF(285&lt;=$F$5,C294-D294,"")</f>
        <v/>
      </c>
      <c r="F294" s="15">
        <f>IF(285&lt;=$F$5,IF(285=$F$5,0,F293-E294),"")</f>
        <v/>
      </c>
    </row>
    <row r="295">
      <c r="A295" s="16">
        <f>IF(286&lt;=$F$5,286,"")</f>
        <v/>
      </c>
      <c r="B295" s="17">
        <f>IF(286&lt;=$F$5,DATE(YEAR($C$7),MONTH($C$7)+285,DAY($C$7)),"")</f>
        <v/>
      </c>
      <c r="C295" s="18">
        <f>IF(286&lt;=$F$5,$F$4,"")</f>
        <v/>
      </c>
      <c r="D295" s="18">
        <f>IF(286&lt;=$F$5,ROUND(F294*$C$5/12,2),"")</f>
        <v/>
      </c>
      <c r="E295" s="18">
        <f>IF(286&lt;=$F$5,C295-D295,"")</f>
        <v/>
      </c>
      <c r="F295" s="18">
        <f>IF(286&lt;=$F$5,IF(286=$F$5,0,F294-E295),"")</f>
        <v/>
      </c>
    </row>
    <row r="296">
      <c r="A296" s="13">
        <f>IF(287&lt;=$F$5,287,"")</f>
        <v/>
      </c>
      <c r="B296" s="14">
        <f>IF(287&lt;=$F$5,DATE(YEAR($C$7),MONTH($C$7)+286,DAY($C$7)),"")</f>
        <v/>
      </c>
      <c r="C296" s="15">
        <f>IF(287&lt;=$F$5,$F$4,"")</f>
        <v/>
      </c>
      <c r="D296" s="15">
        <f>IF(287&lt;=$F$5,ROUND(F295*$C$5/12,2),"")</f>
        <v/>
      </c>
      <c r="E296" s="15">
        <f>IF(287&lt;=$F$5,C296-D296,"")</f>
        <v/>
      </c>
      <c r="F296" s="15">
        <f>IF(287&lt;=$F$5,IF(287=$F$5,0,F295-E296),"")</f>
        <v/>
      </c>
    </row>
    <row r="297">
      <c r="A297" s="16">
        <f>IF(288&lt;=$F$5,288,"")</f>
        <v/>
      </c>
      <c r="B297" s="17">
        <f>IF(288&lt;=$F$5,DATE(YEAR($C$7),MONTH($C$7)+287,DAY($C$7)),"")</f>
        <v/>
      </c>
      <c r="C297" s="18">
        <f>IF(288&lt;=$F$5,$F$4,"")</f>
        <v/>
      </c>
      <c r="D297" s="18">
        <f>IF(288&lt;=$F$5,ROUND(F296*$C$5/12,2),"")</f>
        <v/>
      </c>
      <c r="E297" s="18">
        <f>IF(288&lt;=$F$5,C297-D297,"")</f>
        <v/>
      </c>
      <c r="F297" s="18">
        <f>IF(288&lt;=$F$5,IF(288=$F$5,0,F296-E297),"")</f>
        <v/>
      </c>
    </row>
    <row r="298">
      <c r="A298" s="13">
        <f>IF(289&lt;=$F$5,289,"")</f>
        <v/>
      </c>
      <c r="B298" s="14">
        <f>IF(289&lt;=$F$5,DATE(YEAR($C$7),MONTH($C$7)+288,DAY($C$7)),"")</f>
        <v/>
      </c>
      <c r="C298" s="15">
        <f>IF(289&lt;=$F$5,$F$4,"")</f>
        <v/>
      </c>
      <c r="D298" s="15">
        <f>IF(289&lt;=$F$5,ROUND(F297*$C$5/12,2),"")</f>
        <v/>
      </c>
      <c r="E298" s="15">
        <f>IF(289&lt;=$F$5,C298-D298,"")</f>
        <v/>
      </c>
      <c r="F298" s="15">
        <f>IF(289&lt;=$F$5,IF(289=$F$5,0,F297-E298),"")</f>
        <v/>
      </c>
    </row>
    <row r="299">
      <c r="A299" s="16">
        <f>IF(290&lt;=$F$5,290,"")</f>
        <v/>
      </c>
      <c r="B299" s="17">
        <f>IF(290&lt;=$F$5,DATE(YEAR($C$7),MONTH($C$7)+289,DAY($C$7)),"")</f>
        <v/>
      </c>
      <c r="C299" s="18">
        <f>IF(290&lt;=$F$5,$F$4,"")</f>
        <v/>
      </c>
      <c r="D299" s="18">
        <f>IF(290&lt;=$F$5,ROUND(F298*$C$5/12,2),"")</f>
        <v/>
      </c>
      <c r="E299" s="18">
        <f>IF(290&lt;=$F$5,C299-D299,"")</f>
        <v/>
      </c>
      <c r="F299" s="18">
        <f>IF(290&lt;=$F$5,IF(290=$F$5,0,F298-E299),"")</f>
        <v/>
      </c>
    </row>
    <row r="300">
      <c r="A300" s="13">
        <f>IF(291&lt;=$F$5,291,"")</f>
        <v/>
      </c>
      <c r="B300" s="14">
        <f>IF(291&lt;=$F$5,DATE(YEAR($C$7),MONTH($C$7)+290,DAY($C$7)),"")</f>
        <v/>
      </c>
      <c r="C300" s="15">
        <f>IF(291&lt;=$F$5,$F$4,"")</f>
        <v/>
      </c>
      <c r="D300" s="15">
        <f>IF(291&lt;=$F$5,ROUND(F299*$C$5/12,2),"")</f>
        <v/>
      </c>
      <c r="E300" s="15">
        <f>IF(291&lt;=$F$5,C300-D300,"")</f>
        <v/>
      </c>
      <c r="F300" s="15">
        <f>IF(291&lt;=$F$5,IF(291=$F$5,0,F299-E300),"")</f>
        <v/>
      </c>
    </row>
    <row r="301">
      <c r="A301" s="16">
        <f>IF(292&lt;=$F$5,292,"")</f>
        <v/>
      </c>
      <c r="B301" s="17">
        <f>IF(292&lt;=$F$5,DATE(YEAR($C$7),MONTH($C$7)+291,DAY($C$7)),"")</f>
        <v/>
      </c>
      <c r="C301" s="18">
        <f>IF(292&lt;=$F$5,$F$4,"")</f>
        <v/>
      </c>
      <c r="D301" s="18">
        <f>IF(292&lt;=$F$5,ROUND(F300*$C$5/12,2),"")</f>
        <v/>
      </c>
      <c r="E301" s="18">
        <f>IF(292&lt;=$F$5,C301-D301,"")</f>
        <v/>
      </c>
      <c r="F301" s="18">
        <f>IF(292&lt;=$F$5,IF(292=$F$5,0,F300-E301),"")</f>
        <v/>
      </c>
    </row>
    <row r="302">
      <c r="A302" s="13">
        <f>IF(293&lt;=$F$5,293,"")</f>
        <v/>
      </c>
      <c r="B302" s="14">
        <f>IF(293&lt;=$F$5,DATE(YEAR($C$7),MONTH($C$7)+292,DAY($C$7)),"")</f>
        <v/>
      </c>
      <c r="C302" s="15">
        <f>IF(293&lt;=$F$5,$F$4,"")</f>
        <v/>
      </c>
      <c r="D302" s="15">
        <f>IF(293&lt;=$F$5,ROUND(F301*$C$5/12,2),"")</f>
        <v/>
      </c>
      <c r="E302" s="15">
        <f>IF(293&lt;=$F$5,C302-D302,"")</f>
        <v/>
      </c>
      <c r="F302" s="15">
        <f>IF(293&lt;=$F$5,IF(293=$F$5,0,F301-E302),"")</f>
        <v/>
      </c>
    </row>
    <row r="303">
      <c r="A303" s="16">
        <f>IF(294&lt;=$F$5,294,"")</f>
        <v/>
      </c>
      <c r="B303" s="17">
        <f>IF(294&lt;=$F$5,DATE(YEAR($C$7),MONTH($C$7)+293,DAY($C$7)),"")</f>
        <v/>
      </c>
      <c r="C303" s="18">
        <f>IF(294&lt;=$F$5,$F$4,"")</f>
        <v/>
      </c>
      <c r="D303" s="18">
        <f>IF(294&lt;=$F$5,ROUND(F302*$C$5/12,2),"")</f>
        <v/>
      </c>
      <c r="E303" s="18">
        <f>IF(294&lt;=$F$5,C303-D303,"")</f>
        <v/>
      </c>
      <c r="F303" s="18">
        <f>IF(294&lt;=$F$5,IF(294=$F$5,0,F302-E303),"")</f>
        <v/>
      </c>
    </row>
    <row r="304">
      <c r="A304" s="13">
        <f>IF(295&lt;=$F$5,295,"")</f>
        <v/>
      </c>
      <c r="B304" s="14">
        <f>IF(295&lt;=$F$5,DATE(YEAR($C$7),MONTH($C$7)+294,DAY($C$7)),"")</f>
        <v/>
      </c>
      <c r="C304" s="15">
        <f>IF(295&lt;=$F$5,$F$4,"")</f>
        <v/>
      </c>
      <c r="D304" s="15">
        <f>IF(295&lt;=$F$5,ROUND(F303*$C$5/12,2),"")</f>
        <v/>
      </c>
      <c r="E304" s="15">
        <f>IF(295&lt;=$F$5,C304-D304,"")</f>
        <v/>
      </c>
      <c r="F304" s="15">
        <f>IF(295&lt;=$F$5,IF(295=$F$5,0,F303-E304),"")</f>
        <v/>
      </c>
    </row>
    <row r="305">
      <c r="A305" s="16">
        <f>IF(296&lt;=$F$5,296,"")</f>
        <v/>
      </c>
      <c r="B305" s="17">
        <f>IF(296&lt;=$F$5,DATE(YEAR($C$7),MONTH($C$7)+295,DAY($C$7)),"")</f>
        <v/>
      </c>
      <c r="C305" s="18">
        <f>IF(296&lt;=$F$5,$F$4,"")</f>
        <v/>
      </c>
      <c r="D305" s="18">
        <f>IF(296&lt;=$F$5,ROUND(F304*$C$5/12,2),"")</f>
        <v/>
      </c>
      <c r="E305" s="18">
        <f>IF(296&lt;=$F$5,C305-D305,"")</f>
        <v/>
      </c>
      <c r="F305" s="18">
        <f>IF(296&lt;=$F$5,IF(296=$F$5,0,F304-E305),"")</f>
        <v/>
      </c>
    </row>
    <row r="306">
      <c r="A306" s="13">
        <f>IF(297&lt;=$F$5,297,"")</f>
        <v/>
      </c>
      <c r="B306" s="14">
        <f>IF(297&lt;=$F$5,DATE(YEAR($C$7),MONTH($C$7)+296,DAY($C$7)),"")</f>
        <v/>
      </c>
      <c r="C306" s="15">
        <f>IF(297&lt;=$F$5,$F$4,"")</f>
        <v/>
      </c>
      <c r="D306" s="15">
        <f>IF(297&lt;=$F$5,ROUND(F305*$C$5/12,2),"")</f>
        <v/>
      </c>
      <c r="E306" s="15">
        <f>IF(297&lt;=$F$5,C306-D306,"")</f>
        <v/>
      </c>
      <c r="F306" s="15">
        <f>IF(297&lt;=$F$5,IF(297=$F$5,0,F305-E306),"")</f>
        <v/>
      </c>
    </row>
    <row r="307">
      <c r="A307" s="16">
        <f>IF(298&lt;=$F$5,298,"")</f>
        <v/>
      </c>
      <c r="B307" s="17">
        <f>IF(298&lt;=$F$5,DATE(YEAR($C$7),MONTH($C$7)+297,DAY($C$7)),"")</f>
        <v/>
      </c>
      <c r="C307" s="18">
        <f>IF(298&lt;=$F$5,$F$4,"")</f>
        <v/>
      </c>
      <c r="D307" s="18">
        <f>IF(298&lt;=$F$5,ROUND(F306*$C$5/12,2),"")</f>
        <v/>
      </c>
      <c r="E307" s="18">
        <f>IF(298&lt;=$F$5,C307-D307,"")</f>
        <v/>
      </c>
      <c r="F307" s="18">
        <f>IF(298&lt;=$F$5,IF(298=$F$5,0,F306-E307),"")</f>
        <v/>
      </c>
    </row>
    <row r="308">
      <c r="A308" s="13">
        <f>IF(299&lt;=$F$5,299,"")</f>
        <v/>
      </c>
      <c r="B308" s="14">
        <f>IF(299&lt;=$F$5,DATE(YEAR($C$7),MONTH($C$7)+298,DAY($C$7)),"")</f>
        <v/>
      </c>
      <c r="C308" s="15">
        <f>IF(299&lt;=$F$5,$F$4,"")</f>
        <v/>
      </c>
      <c r="D308" s="15">
        <f>IF(299&lt;=$F$5,ROUND(F307*$C$5/12,2),"")</f>
        <v/>
      </c>
      <c r="E308" s="15">
        <f>IF(299&lt;=$F$5,C308-D308,"")</f>
        <v/>
      </c>
      <c r="F308" s="15">
        <f>IF(299&lt;=$F$5,IF(299=$F$5,0,F307-E308),"")</f>
        <v/>
      </c>
    </row>
    <row r="309">
      <c r="A309" s="16">
        <f>IF(300&lt;=$F$5,300,"")</f>
        <v/>
      </c>
      <c r="B309" s="17">
        <f>IF(300&lt;=$F$5,DATE(YEAR($C$7),MONTH($C$7)+299,DAY($C$7)),"")</f>
        <v/>
      </c>
      <c r="C309" s="18">
        <f>IF(300&lt;=$F$5,$F$4,"")</f>
        <v/>
      </c>
      <c r="D309" s="18">
        <f>IF(300&lt;=$F$5,ROUND(F308*$C$5/12,2),"")</f>
        <v/>
      </c>
      <c r="E309" s="18">
        <f>IF(300&lt;=$F$5,C309-D309,"")</f>
        <v/>
      </c>
      <c r="F309" s="18">
        <f>IF(300&lt;=$F$5,IF(300=$F$5,0,F308-E309),"")</f>
        <v/>
      </c>
    </row>
    <row r="310">
      <c r="A310" s="13">
        <f>IF(301&lt;=$F$5,301,"")</f>
        <v/>
      </c>
      <c r="B310" s="14">
        <f>IF(301&lt;=$F$5,DATE(YEAR($C$7),MONTH($C$7)+300,DAY($C$7)),"")</f>
        <v/>
      </c>
      <c r="C310" s="15">
        <f>IF(301&lt;=$F$5,$F$4,"")</f>
        <v/>
      </c>
      <c r="D310" s="15">
        <f>IF(301&lt;=$F$5,ROUND(F309*$C$5/12,2),"")</f>
        <v/>
      </c>
      <c r="E310" s="15">
        <f>IF(301&lt;=$F$5,C310-D310,"")</f>
        <v/>
      </c>
      <c r="F310" s="15">
        <f>IF(301&lt;=$F$5,IF(301=$F$5,0,F309-E310),"")</f>
        <v/>
      </c>
    </row>
    <row r="311">
      <c r="A311" s="16">
        <f>IF(302&lt;=$F$5,302,"")</f>
        <v/>
      </c>
      <c r="B311" s="17">
        <f>IF(302&lt;=$F$5,DATE(YEAR($C$7),MONTH($C$7)+301,DAY($C$7)),"")</f>
        <v/>
      </c>
      <c r="C311" s="18">
        <f>IF(302&lt;=$F$5,$F$4,"")</f>
        <v/>
      </c>
      <c r="D311" s="18">
        <f>IF(302&lt;=$F$5,ROUND(F310*$C$5/12,2),"")</f>
        <v/>
      </c>
      <c r="E311" s="18">
        <f>IF(302&lt;=$F$5,C311-D311,"")</f>
        <v/>
      </c>
      <c r="F311" s="18">
        <f>IF(302&lt;=$F$5,IF(302=$F$5,0,F310-E311),"")</f>
        <v/>
      </c>
    </row>
    <row r="312">
      <c r="A312" s="13">
        <f>IF(303&lt;=$F$5,303,"")</f>
        <v/>
      </c>
      <c r="B312" s="14">
        <f>IF(303&lt;=$F$5,DATE(YEAR($C$7),MONTH($C$7)+302,DAY($C$7)),"")</f>
        <v/>
      </c>
      <c r="C312" s="15">
        <f>IF(303&lt;=$F$5,$F$4,"")</f>
        <v/>
      </c>
      <c r="D312" s="15">
        <f>IF(303&lt;=$F$5,ROUND(F311*$C$5/12,2),"")</f>
        <v/>
      </c>
      <c r="E312" s="15">
        <f>IF(303&lt;=$F$5,C312-D312,"")</f>
        <v/>
      </c>
      <c r="F312" s="15">
        <f>IF(303&lt;=$F$5,IF(303=$F$5,0,F311-E312),"")</f>
        <v/>
      </c>
    </row>
    <row r="313">
      <c r="A313" s="16">
        <f>IF(304&lt;=$F$5,304,"")</f>
        <v/>
      </c>
      <c r="B313" s="17">
        <f>IF(304&lt;=$F$5,DATE(YEAR($C$7),MONTH($C$7)+303,DAY($C$7)),"")</f>
        <v/>
      </c>
      <c r="C313" s="18">
        <f>IF(304&lt;=$F$5,$F$4,"")</f>
        <v/>
      </c>
      <c r="D313" s="18">
        <f>IF(304&lt;=$F$5,ROUND(F312*$C$5/12,2),"")</f>
        <v/>
      </c>
      <c r="E313" s="18">
        <f>IF(304&lt;=$F$5,C313-D313,"")</f>
        <v/>
      </c>
      <c r="F313" s="18">
        <f>IF(304&lt;=$F$5,IF(304=$F$5,0,F312-E313),"")</f>
        <v/>
      </c>
    </row>
    <row r="314">
      <c r="A314" s="13">
        <f>IF(305&lt;=$F$5,305,"")</f>
        <v/>
      </c>
      <c r="B314" s="14">
        <f>IF(305&lt;=$F$5,DATE(YEAR($C$7),MONTH($C$7)+304,DAY($C$7)),"")</f>
        <v/>
      </c>
      <c r="C314" s="15">
        <f>IF(305&lt;=$F$5,$F$4,"")</f>
        <v/>
      </c>
      <c r="D314" s="15">
        <f>IF(305&lt;=$F$5,ROUND(F313*$C$5/12,2),"")</f>
        <v/>
      </c>
      <c r="E314" s="15">
        <f>IF(305&lt;=$F$5,C314-D314,"")</f>
        <v/>
      </c>
      <c r="F314" s="15">
        <f>IF(305&lt;=$F$5,IF(305=$F$5,0,F313-E314),"")</f>
        <v/>
      </c>
    </row>
    <row r="315">
      <c r="A315" s="16">
        <f>IF(306&lt;=$F$5,306,"")</f>
        <v/>
      </c>
      <c r="B315" s="17">
        <f>IF(306&lt;=$F$5,DATE(YEAR($C$7),MONTH($C$7)+305,DAY($C$7)),"")</f>
        <v/>
      </c>
      <c r="C315" s="18">
        <f>IF(306&lt;=$F$5,$F$4,"")</f>
        <v/>
      </c>
      <c r="D315" s="18">
        <f>IF(306&lt;=$F$5,ROUND(F314*$C$5/12,2),"")</f>
        <v/>
      </c>
      <c r="E315" s="18">
        <f>IF(306&lt;=$F$5,C315-D315,"")</f>
        <v/>
      </c>
      <c r="F315" s="18">
        <f>IF(306&lt;=$F$5,IF(306=$F$5,0,F314-E315),"")</f>
        <v/>
      </c>
    </row>
    <row r="316">
      <c r="A316" s="13">
        <f>IF(307&lt;=$F$5,307,"")</f>
        <v/>
      </c>
      <c r="B316" s="14">
        <f>IF(307&lt;=$F$5,DATE(YEAR($C$7),MONTH($C$7)+306,DAY($C$7)),"")</f>
        <v/>
      </c>
      <c r="C316" s="15">
        <f>IF(307&lt;=$F$5,$F$4,"")</f>
        <v/>
      </c>
      <c r="D316" s="15">
        <f>IF(307&lt;=$F$5,ROUND(F315*$C$5/12,2),"")</f>
        <v/>
      </c>
      <c r="E316" s="15">
        <f>IF(307&lt;=$F$5,C316-D316,"")</f>
        <v/>
      </c>
      <c r="F316" s="15">
        <f>IF(307&lt;=$F$5,IF(307=$F$5,0,F315-E316),"")</f>
        <v/>
      </c>
    </row>
    <row r="317">
      <c r="A317" s="16">
        <f>IF(308&lt;=$F$5,308,"")</f>
        <v/>
      </c>
      <c r="B317" s="17">
        <f>IF(308&lt;=$F$5,DATE(YEAR($C$7),MONTH($C$7)+307,DAY($C$7)),"")</f>
        <v/>
      </c>
      <c r="C317" s="18">
        <f>IF(308&lt;=$F$5,$F$4,"")</f>
        <v/>
      </c>
      <c r="D317" s="18">
        <f>IF(308&lt;=$F$5,ROUND(F316*$C$5/12,2),"")</f>
        <v/>
      </c>
      <c r="E317" s="18">
        <f>IF(308&lt;=$F$5,C317-D317,"")</f>
        <v/>
      </c>
      <c r="F317" s="18">
        <f>IF(308&lt;=$F$5,IF(308=$F$5,0,F316-E317),"")</f>
        <v/>
      </c>
    </row>
    <row r="318">
      <c r="A318" s="13">
        <f>IF(309&lt;=$F$5,309,"")</f>
        <v/>
      </c>
      <c r="B318" s="14">
        <f>IF(309&lt;=$F$5,DATE(YEAR($C$7),MONTH($C$7)+308,DAY($C$7)),"")</f>
        <v/>
      </c>
      <c r="C318" s="15">
        <f>IF(309&lt;=$F$5,$F$4,"")</f>
        <v/>
      </c>
      <c r="D318" s="15">
        <f>IF(309&lt;=$F$5,ROUND(F317*$C$5/12,2),"")</f>
        <v/>
      </c>
      <c r="E318" s="15">
        <f>IF(309&lt;=$F$5,C318-D318,"")</f>
        <v/>
      </c>
      <c r="F318" s="15">
        <f>IF(309&lt;=$F$5,IF(309=$F$5,0,F317-E318),"")</f>
        <v/>
      </c>
    </row>
    <row r="319">
      <c r="A319" s="16">
        <f>IF(310&lt;=$F$5,310,"")</f>
        <v/>
      </c>
      <c r="B319" s="17">
        <f>IF(310&lt;=$F$5,DATE(YEAR($C$7),MONTH($C$7)+309,DAY($C$7)),"")</f>
        <v/>
      </c>
      <c r="C319" s="18">
        <f>IF(310&lt;=$F$5,$F$4,"")</f>
        <v/>
      </c>
      <c r="D319" s="18">
        <f>IF(310&lt;=$F$5,ROUND(F318*$C$5/12,2),"")</f>
        <v/>
      </c>
      <c r="E319" s="18">
        <f>IF(310&lt;=$F$5,C319-D319,"")</f>
        <v/>
      </c>
      <c r="F319" s="18">
        <f>IF(310&lt;=$F$5,IF(310=$F$5,0,F318-E319),"")</f>
        <v/>
      </c>
    </row>
    <row r="320">
      <c r="A320" s="13">
        <f>IF(311&lt;=$F$5,311,"")</f>
        <v/>
      </c>
      <c r="B320" s="14">
        <f>IF(311&lt;=$F$5,DATE(YEAR($C$7),MONTH($C$7)+310,DAY($C$7)),"")</f>
        <v/>
      </c>
      <c r="C320" s="15">
        <f>IF(311&lt;=$F$5,$F$4,"")</f>
        <v/>
      </c>
      <c r="D320" s="15">
        <f>IF(311&lt;=$F$5,ROUND(F319*$C$5/12,2),"")</f>
        <v/>
      </c>
      <c r="E320" s="15">
        <f>IF(311&lt;=$F$5,C320-D320,"")</f>
        <v/>
      </c>
      <c r="F320" s="15">
        <f>IF(311&lt;=$F$5,IF(311=$F$5,0,F319-E320),"")</f>
        <v/>
      </c>
    </row>
    <row r="321">
      <c r="A321" s="16">
        <f>IF(312&lt;=$F$5,312,"")</f>
        <v/>
      </c>
      <c r="B321" s="17">
        <f>IF(312&lt;=$F$5,DATE(YEAR($C$7),MONTH($C$7)+311,DAY($C$7)),"")</f>
        <v/>
      </c>
      <c r="C321" s="18">
        <f>IF(312&lt;=$F$5,$F$4,"")</f>
        <v/>
      </c>
      <c r="D321" s="18">
        <f>IF(312&lt;=$F$5,ROUND(F320*$C$5/12,2),"")</f>
        <v/>
      </c>
      <c r="E321" s="18">
        <f>IF(312&lt;=$F$5,C321-D321,"")</f>
        <v/>
      </c>
      <c r="F321" s="18">
        <f>IF(312&lt;=$F$5,IF(312=$F$5,0,F320-E321),"")</f>
        <v/>
      </c>
    </row>
    <row r="322">
      <c r="A322" s="13">
        <f>IF(313&lt;=$F$5,313,"")</f>
        <v/>
      </c>
      <c r="B322" s="14">
        <f>IF(313&lt;=$F$5,DATE(YEAR($C$7),MONTH($C$7)+312,DAY($C$7)),"")</f>
        <v/>
      </c>
      <c r="C322" s="15">
        <f>IF(313&lt;=$F$5,$F$4,"")</f>
        <v/>
      </c>
      <c r="D322" s="15">
        <f>IF(313&lt;=$F$5,ROUND(F321*$C$5/12,2),"")</f>
        <v/>
      </c>
      <c r="E322" s="15">
        <f>IF(313&lt;=$F$5,C322-D322,"")</f>
        <v/>
      </c>
      <c r="F322" s="15">
        <f>IF(313&lt;=$F$5,IF(313=$F$5,0,F321-E322),"")</f>
        <v/>
      </c>
    </row>
    <row r="323">
      <c r="A323" s="16">
        <f>IF(314&lt;=$F$5,314,"")</f>
        <v/>
      </c>
      <c r="B323" s="17">
        <f>IF(314&lt;=$F$5,DATE(YEAR($C$7),MONTH($C$7)+313,DAY($C$7)),"")</f>
        <v/>
      </c>
      <c r="C323" s="18">
        <f>IF(314&lt;=$F$5,$F$4,"")</f>
        <v/>
      </c>
      <c r="D323" s="18">
        <f>IF(314&lt;=$F$5,ROUND(F322*$C$5/12,2),"")</f>
        <v/>
      </c>
      <c r="E323" s="18">
        <f>IF(314&lt;=$F$5,C323-D323,"")</f>
        <v/>
      </c>
      <c r="F323" s="18">
        <f>IF(314&lt;=$F$5,IF(314=$F$5,0,F322-E323),"")</f>
        <v/>
      </c>
    </row>
    <row r="324">
      <c r="A324" s="13">
        <f>IF(315&lt;=$F$5,315,"")</f>
        <v/>
      </c>
      <c r="B324" s="14">
        <f>IF(315&lt;=$F$5,DATE(YEAR($C$7),MONTH($C$7)+314,DAY($C$7)),"")</f>
        <v/>
      </c>
      <c r="C324" s="15">
        <f>IF(315&lt;=$F$5,$F$4,"")</f>
        <v/>
      </c>
      <c r="D324" s="15">
        <f>IF(315&lt;=$F$5,ROUND(F323*$C$5/12,2),"")</f>
        <v/>
      </c>
      <c r="E324" s="15">
        <f>IF(315&lt;=$F$5,C324-D324,"")</f>
        <v/>
      </c>
      <c r="F324" s="15">
        <f>IF(315&lt;=$F$5,IF(315=$F$5,0,F323-E324),"")</f>
        <v/>
      </c>
    </row>
    <row r="325">
      <c r="A325" s="16">
        <f>IF(316&lt;=$F$5,316,"")</f>
        <v/>
      </c>
      <c r="B325" s="17">
        <f>IF(316&lt;=$F$5,DATE(YEAR($C$7),MONTH($C$7)+315,DAY($C$7)),"")</f>
        <v/>
      </c>
      <c r="C325" s="18">
        <f>IF(316&lt;=$F$5,$F$4,"")</f>
        <v/>
      </c>
      <c r="D325" s="18">
        <f>IF(316&lt;=$F$5,ROUND(F324*$C$5/12,2),"")</f>
        <v/>
      </c>
      <c r="E325" s="18">
        <f>IF(316&lt;=$F$5,C325-D325,"")</f>
        <v/>
      </c>
      <c r="F325" s="18">
        <f>IF(316&lt;=$F$5,IF(316=$F$5,0,F324-E325),"")</f>
        <v/>
      </c>
    </row>
    <row r="326">
      <c r="A326" s="13">
        <f>IF(317&lt;=$F$5,317,"")</f>
        <v/>
      </c>
      <c r="B326" s="14">
        <f>IF(317&lt;=$F$5,DATE(YEAR($C$7),MONTH($C$7)+316,DAY($C$7)),"")</f>
        <v/>
      </c>
      <c r="C326" s="15">
        <f>IF(317&lt;=$F$5,$F$4,"")</f>
        <v/>
      </c>
      <c r="D326" s="15">
        <f>IF(317&lt;=$F$5,ROUND(F325*$C$5/12,2),"")</f>
        <v/>
      </c>
      <c r="E326" s="15">
        <f>IF(317&lt;=$F$5,C326-D326,"")</f>
        <v/>
      </c>
      <c r="F326" s="15">
        <f>IF(317&lt;=$F$5,IF(317=$F$5,0,F325-E326),"")</f>
        <v/>
      </c>
    </row>
    <row r="327">
      <c r="A327" s="16">
        <f>IF(318&lt;=$F$5,318,"")</f>
        <v/>
      </c>
      <c r="B327" s="17">
        <f>IF(318&lt;=$F$5,DATE(YEAR($C$7),MONTH($C$7)+317,DAY($C$7)),"")</f>
        <v/>
      </c>
      <c r="C327" s="18">
        <f>IF(318&lt;=$F$5,$F$4,"")</f>
        <v/>
      </c>
      <c r="D327" s="18">
        <f>IF(318&lt;=$F$5,ROUND(F326*$C$5/12,2),"")</f>
        <v/>
      </c>
      <c r="E327" s="18">
        <f>IF(318&lt;=$F$5,C327-D327,"")</f>
        <v/>
      </c>
      <c r="F327" s="18">
        <f>IF(318&lt;=$F$5,IF(318=$F$5,0,F326-E327),"")</f>
        <v/>
      </c>
    </row>
    <row r="328">
      <c r="A328" s="13">
        <f>IF(319&lt;=$F$5,319,"")</f>
        <v/>
      </c>
      <c r="B328" s="14">
        <f>IF(319&lt;=$F$5,DATE(YEAR($C$7),MONTH($C$7)+318,DAY($C$7)),"")</f>
        <v/>
      </c>
      <c r="C328" s="15">
        <f>IF(319&lt;=$F$5,$F$4,"")</f>
        <v/>
      </c>
      <c r="D328" s="15">
        <f>IF(319&lt;=$F$5,ROUND(F327*$C$5/12,2),"")</f>
        <v/>
      </c>
      <c r="E328" s="15">
        <f>IF(319&lt;=$F$5,C328-D328,"")</f>
        <v/>
      </c>
      <c r="F328" s="15">
        <f>IF(319&lt;=$F$5,IF(319=$F$5,0,F327-E328),"")</f>
        <v/>
      </c>
    </row>
    <row r="329">
      <c r="A329" s="16">
        <f>IF(320&lt;=$F$5,320,"")</f>
        <v/>
      </c>
      <c r="B329" s="17">
        <f>IF(320&lt;=$F$5,DATE(YEAR($C$7),MONTH($C$7)+319,DAY($C$7)),"")</f>
        <v/>
      </c>
      <c r="C329" s="18">
        <f>IF(320&lt;=$F$5,$F$4,"")</f>
        <v/>
      </c>
      <c r="D329" s="18">
        <f>IF(320&lt;=$F$5,ROUND(F328*$C$5/12,2),"")</f>
        <v/>
      </c>
      <c r="E329" s="18">
        <f>IF(320&lt;=$F$5,C329-D329,"")</f>
        <v/>
      </c>
      <c r="F329" s="18">
        <f>IF(320&lt;=$F$5,IF(320=$F$5,0,F328-E329),"")</f>
        <v/>
      </c>
    </row>
    <row r="330">
      <c r="A330" s="13">
        <f>IF(321&lt;=$F$5,321,"")</f>
        <v/>
      </c>
      <c r="B330" s="14">
        <f>IF(321&lt;=$F$5,DATE(YEAR($C$7),MONTH($C$7)+320,DAY($C$7)),"")</f>
        <v/>
      </c>
      <c r="C330" s="15">
        <f>IF(321&lt;=$F$5,$F$4,"")</f>
        <v/>
      </c>
      <c r="D330" s="15">
        <f>IF(321&lt;=$F$5,ROUND(F329*$C$5/12,2),"")</f>
        <v/>
      </c>
      <c r="E330" s="15">
        <f>IF(321&lt;=$F$5,C330-D330,"")</f>
        <v/>
      </c>
      <c r="F330" s="15">
        <f>IF(321&lt;=$F$5,IF(321=$F$5,0,F329-E330),"")</f>
        <v/>
      </c>
    </row>
    <row r="331">
      <c r="A331" s="16">
        <f>IF(322&lt;=$F$5,322,"")</f>
        <v/>
      </c>
      <c r="B331" s="17">
        <f>IF(322&lt;=$F$5,DATE(YEAR($C$7),MONTH($C$7)+321,DAY($C$7)),"")</f>
        <v/>
      </c>
      <c r="C331" s="18">
        <f>IF(322&lt;=$F$5,$F$4,"")</f>
        <v/>
      </c>
      <c r="D331" s="18">
        <f>IF(322&lt;=$F$5,ROUND(F330*$C$5/12,2),"")</f>
        <v/>
      </c>
      <c r="E331" s="18">
        <f>IF(322&lt;=$F$5,C331-D331,"")</f>
        <v/>
      </c>
      <c r="F331" s="18">
        <f>IF(322&lt;=$F$5,IF(322=$F$5,0,F330-E331),"")</f>
        <v/>
      </c>
    </row>
    <row r="332">
      <c r="A332" s="13">
        <f>IF(323&lt;=$F$5,323,"")</f>
        <v/>
      </c>
      <c r="B332" s="14">
        <f>IF(323&lt;=$F$5,DATE(YEAR($C$7),MONTH($C$7)+322,DAY($C$7)),"")</f>
        <v/>
      </c>
      <c r="C332" s="15">
        <f>IF(323&lt;=$F$5,$F$4,"")</f>
        <v/>
      </c>
      <c r="D332" s="15">
        <f>IF(323&lt;=$F$5,ROUND(F331*$C$5/12,2),"")</f>
        <v/>
      </c>
      <c r="E332" s="15">
        <f>IF(323&lt;=$F$5,C332-D332,"")</f>
        <v/>
      </c>
      <c r="F332" s="15">
        <f>IF(323&lt;=$F$5,IF(323=$F$5,0,F331-E332),"")</f>
        <v/>
      </c>
    </row>
    <row r="333">
      <c r="A333" s="16">
        <f>IF(324&lt;=$F$5,324,"")</f>
        <v/>
      </c>
      <c r="B333" s="17">
        <f>IF(324&lt;=$F$5,DATE(YEAR($C$7),MONTH($C$7)+323,DAY($C$7)),"")</f>
        <v/>
      </c>
      <c r="C333" s="18">
        <f>IF(324&lt;=$F$5,$F$4,"")</f>
        <v/>
      </c>
      <c r="D333" s="18">
        <f>IF(324&lt;=$F$5,ROUND(F332*$C$5/12,2),"")</f>
        <v/>
      </c>
      <c r="E333" s="18">
        <f>IF(324&lt;=$F$5,C333-D333,"")</f>
        <v/>
      </c>
      <c r="F333" s="18">
        <f>IF(324&lt;=$F$5,IF(324=$F$5,0,F332-E333),"")</f>
        <v/>
      </c>
    </row>
    <row r="334">
      <c r="A334" s="13">
        <f>IF(325&lt;=$F$5,325,"")</f>
        <v/>
      </c>
      <c r="B334" s="14">
        <f>IF(325&lt;=$F$5,DATE(YEAR($C$7),MONTH($C$7)+324,DAY($C$7)),"")</f>
        <v/>
      </c>
      <c r="C334" s="15">
        <f>IF(325&lt;=$F$5,$F$4,"")</f>
        <v/>
      </c>
      <c r="D334" s="15">
        <f>IF(325&lt;=$F$5,ROUND(F333*$C$5/12,2),"")</f>
        <v/>
      </c>
      <c r="E334" s="15">
        <f>IF(325&lt;=$F$5,C334-D334,"")</f>
        <v/>
      </c>
      <c r="F334" s="15">
        <f>IF(325&lt;=$F$5,IF(325=$F$5,0,F333-E334),"")</f>
        <v/>
      </c>
    </row>
    <row r="335">
      <c r="A335" s="16">
        <f>IF(326&lt;=$F$5,326,"")</f>
        <v/>
      </c>
      <c r="B335" s="17">
        <f>IF(326&lt;=$F$5,DATE(YEAR($C$7),MONTH($C$7)+325,DAY($C$7)),"")</f>
        <v/>
      </c>
      <c r="C335" s="18">
        <f>IF(326&lt;=$F$5,$F$4,"")</f>
        <v/>
      </c>
      <c r="D335" s="18">
        <f>IF(326&lt;=$F$5,ROUND(F334*$C$5/12,2),"")</f>
        <v/>
      </c>
      <c r="E335" s="18">
        <f>IF(326&lt;=$F$5,C335-D335,"")</f>
        <v/>
      </c>
      <c r="F335" s="18">
        <f>IF(326&lt;=$F$5,IF(326=$F$5,0,F334-E335),"")</f>
        <v/>
      </c>
    </row>
    <row r="336">
      <c r="A336" s="13">
        <f>IF(327&lt;=$F$5,327,"")</f>
        <v/>
      </c>
      <c r="B336" s="14">
        <f>IF(327&lt;=$F$5,DATE(YEAR($C$7),MONTH($C$7)+326,DAY($C$7)),"")</f>
        <v/>
      </c>
      <c r="C336" s="15">
        <f>IF(327&lt;=$F$5,$F$4,"")</f>
        <v/>
      </c>
      <c r="D336" s="15">
        <f>IF(327&lt;=$F$5,ROUND(F335*$C$5/12,2),"")</f>
        <v/>
      </c>
      <c r="E336" s="15">
        <f>IF(327&lt;=$F$5,C336-D336,"")</f>
        <v/>
      </c>
      <c r="F336" s="15">
        <f>IF(327&lt;=$F$5,IF(327=$F$5,0,F335-E336),"")</f>
        <v/>
      </c>
    </row>
    <row r="337">
      <c r="A337" s="16">
        <f>IF(328&lt;=$F$5,328,"")</f>
        <v/>
      </c>
      <c r="B337" s="17">
        <f>IF(328&lt;=$F$5,DATE(YEAR($C$7),MONTH($C$7)+327,DAY($C$7)),"")</f>
        <v/>
      </c>
      <c r="C337" s="18">
        <f>IF(328&lt;=$F$5,$F$4,"")</f>
        <v/>
      </c>
      <c r="D337" s="18">
        <f>IF(328&lt;=$F$5,ROUND(F336*$C$5/12,2),"")</f>
        <v/>
      </c>
      <c r="E337" s="18">
        <f>IF(328&lt;=$F$5,C337-D337,"")</f>
        <v/>
      </c>
      <c r="F337" s="18">
        <f>IF(328&lt;=$F$5,IF(328=$F$5,0,F336-E337),"")</f>
        <v/>
      </c>
    </row>
    <row r="338">
      <c r="A338" s="13">
        <f>IF(329&lt;=$F$5,329,"")</f>
        <v/>
      </c>
      <c r="B338" s="14">
        <f>IF(329&lt;=$F$5,DATE(YEAR($C$7),MONTH($C$7)+328,DAY($C$7)),"")</f>
        <v/>
      </c>
      <c r="C338" s="15">
        <f>IF(329&lt;=$F$5,$F$4,"")</f>
        <v/>
      </c>
      <c r="D338" s="15">
        <f>IF(329&lt;=$F$5,ROUND(F337*$C$5/12,2),"")</f>
        <v/>
      </c>
      <c r="E338" s="15">
        <f>IF(329&lt;=$F$5,C338-D338,"")</f>
        <v/>
      </c>
      <c r="F338" s="15">
        <f>IF(329&lt;=$F$5,IF(329=$F$5,0,F337-E338),"")</f>
        <v/>
      </c>
    </row>
    <row r="339">
      <c r="A339" s="16">
        <f>IF(330&lt;=$F$5,330,"")</f>
        <v/>
      </c>
      <c r="B339" s="17">
        <f>IF(330&lt;=$F$5,DATE(YEAR($C$7),MONTH($C$7)+329,DAY($C$7)),"")</f>
        <v/>
      </c>
      <c r="C339" s="18">
        <f>IF(330&lt;=$F$5,$F$4,"")</f>
        <v/>
      </c>
      <c r="D339" s="18">
        <f>IF(330&lt;=$F$5,ROUND(F338*$C$5/12,2),"")</f>
        <v/>
      </c>
      <c r="E339" s="18">
        <f>IF(330&lt;=$F$5,C339-D339,"")</f>
        <v/>
      </c>
      <c r="F339" s="18">
        <f>IF(330&lt;=$F$5,IF(330=$F$5,0,F338-E339),"")</f>
        <v/>
      </c>
    </row>
    <row r="340">
      <c r="A340" s="13">
        <f>IF(331&lt;=$F$5,331,"")</f>
        <v/>
      </c>
      <c r="B340" s="14">
        <f>IF(331&lt;=$F$5,DATE(YEAR($C$7),MONTH($C$7)+330,DAY($C$7)),"")</f>
        <v/>
      </c>
      <c r="C340" s="15">
        <f>IF(331&lt;=$F$5,$F$4,"")</f>
        <v/>
      </c>
      <c r="D340" s="15">
        <f>IF(331&lt;=$F$5,ROUND(F339*$C$5/12,2),"")</f>
        <v/>
      </c>
      <c r="E340" s="15">
        <f>IF(331&lt;=$F$5,C340-D340,"")</f>
        <v/>
      </c>
      <c r="F340" s="15">
        <f>IF(331&lt;=$F$5,IF(331=$F$5,0,F339-E340),"")</f>
        <v/>
      </c>
    </row>
    <row r="341">
      <c r="A341" s="16">
        <f>IF(332&lt;=$F$5,332,"")</f>
        <v/>
      </c>
      <c r="B341" s="17">
        <f>IF(332&lt;=$F$5,DATE(YEAR($C$7),MONTH($C$7)+331,DAY($C$7)),"")</f>
        <v/>
      </c>
      <c r="C341" s="18">
        <f>IF(332&lt;=$F$5,$F$4,"")</f>
        <v/>
      </c>
      <c r="D341" s="18">
        <f>IF(332&lt;=$F$5,ROUND(F340*$C$5/12,2),"")</f>
        <v/>
      </c>
      <c r="E341" s="18">
        <f>IF(332&lt;=$F$5,C341-D341,"")</f>
        <v/>
      </c>
      <c r="F341" s="18">
        <f>IF(332&lt;=$F$5,IF(332=$F$5,0,F340-E341),"")</f>
        <v/>
      </c>
    </row>
    <row r="342">
      <c r="A342" s="13">
        <f>IF(333&lt;=$F$5,333,"")</f>
        <v/>
      </c>
      <c r="B342" s="14">
        <f>IF(333&lt;=$F$5,DATE(YEAR($C$7),MONTH($C$7)+332,DAY($C$7)),"")</f>
        <v/>
      </c>
      <c r="C342" s="15">
        <f>IF(333&lt;=$F$5,$F$4,"")</f>
        <v/>
      </c>
      <c r="D342" s="15">
        <f>IF(333&lt;=$F$5,ROUND(F341*$C$5/12,2),"")</f>
        <v/>
      </c>
      <c r="E342" s="15">
        <f>IF(333&lt;=$F$5,C342-D342,"")</f>
        <v/>
      </c>
      <c r="F342" s="15">
        <f>IF(333&lt;=$F$5,IF(333=$F$5,0,F341-E342),"")</f>
        <v/>
      </c>
    </row>
    <row r="343">
      <c r="A343" s="16">
        <f>IF(334&lt;=$F$5,334,"")</f>
        <v/>
      </c>
      <c r="B343" s="17">
        <f>IF(334&lt;=$F$5,DATE(YEAR($C$7),MONTH($C$7)+333,DAY($C$7)),"")</f>
        <v/>
      </c>
      <c r="C343" s="18">
        <f>IF(334&lt;=$F$5,$F$4,"")</f>
        <v/>
      </c>
      <c r="D343" s="18">
        <f>IF(334&lt;=$F$5,ROUND(F342*$C$5/12,2),"")</f>
        <v/>
      </c>
      <c r="E343" s="18">
        <f>IF(334&lt;=$F$5,C343-D343,"")</f>
        <v/>
      </c>
      <c r="F343" s="18">
        <f>IF(334&lt;=$F$5,IF(334=$F$5,0,F342-E343),"")</f>
        <v/>
      </c>
    </row>
    <row r="344">
      <c r="A344" s="13">
        <f>IF(335&lt;=$F$5,335,"")</f>
        <v/>
      </c>
      <c r="B344" s="14">
        <f>IF(335&lt;=$F$5,DATE(YEAR($C$7),MONTH($C$7)+334,DAY($C$7)),"")</f>
        <v/>
      </c>
      <c r="C344" s="15">
        <f>IF(335&lt;=$F$5,$F$4,"")</f>
        <v/>
      </c>
      <c r="D344" s="15">
        <f>IF(335&lt;=$F$5,ROUND(F343*$C$5/12,2),"")</f>
        <v/>
      </c>
      <c r="E344" s="15">
        <f>IF(335&lt;=$F$5,C344-D344,"")</f>
        <v/>
      </c>
      <c r="F344" s="15">
        <f>IF(335&lt;=$F$5,IF(335=$F$5,0,F343-E344),"")</f>
        <v/>
      </c>
    </row>
    <row r="345">
      <c r="A345" s="16">
        <f>IF(336&lt;=$F$5,336,"")</f>
        <v/>
      </c>
      <c r="B345" s="17">
        <f>IF(336&lt;=$F$5,DATE(YEAR($C$7),MONTH($C$7)+335,DAY($C$7)),"")</f>
        <v/>
      </c>
      <c r="C345" s="18">
        <f>IF(336&lt;=$F$5,$F$4,"")</f>
        <v/>
      </c>
      <c r="D345" s="18">
        <f>IF(336&lt;=$F$5,ROUND(F344*$C$5/12,2),"")</f>
        <v/>
      </c>
      <c r="E345" s="18">
        <f>IF(336&lt;=$F$5,C345-D345,"")</f>
        <v/>
      </c>
      <c r="F345" s="18">
        <f>IF(336&lt;=$F$5,IF(336=$F$5,0,F344-E345),"")</f>
        <v/>
      </c>
    </row>
    <row r="346">
      <c r="A346" s="13">
        <f>IF(337&lt;=$F$5,337,"")</f>
        <v/>
      </c>
      <c r="B346" s="14">
        <f>IF(337&lt;=$F$5,DATE(YEAR($C$7),MONTH($C$7)+336,DAY($C$7)),"")</f>
        <v/>
      </c>
      <c r="C346" s="15">
        <f>IF(337&lt;=$F$5,$F$4,"")</f>
        <v/>
      </c>
      <c r="D346" s="15">
        <f>IF(337&lt;=$F$5,ROUND(F345*$C$5/12,2),"")</f>
        <v/>
      </c>
      <c r="E346" s="15">
        <f>IF(337&lt;=$F$5,C346-D346,"")</f>
        <v/>
      </c>
      <c r="F346" s="15">
        <f>IF(337&lt;=$F$5,IF(337=$F$5,0,F345-E346),"")</f>
        <v/>
      </c>
    </row>
    <row r="347">
      <c r="A347" s="16">
        <f>IF(338&lt;=$F$5,338,"")</f>
        <v/>
      </c>
      <c r="B347" s="17">
        <f>IF(338&lt;=$F$5,DATE(YEAR($C$7),MONTH($C$7)+337,DAY($C$7)),"")</f>
        <v/>
      </c>
      <c r="C347" s="18">
        <f>IF(338&lt;=$F$5,$F$4,"")</f>
        <v/>
      </c>
      <c r="D347" s="18">
        <f>IF(338&lt;=$F$5,ROUND(F346*$C$5/12,2),"")</f>
        <v/>
      </c>
      <c r="E347" s="18">
        <f>IF(338&lt;=$F$5,C347-D347,"")</f>
        <v/>
      </c>
      <c r="F347" s="18">
        <f>IF(338&lt;=$F$5,IF(338=$F$5,0,F346-E347),"")</f>
        <v/>
      </c>
    </row>
    <row r="348">
      <c r="A348" s="13">
        <f>IF(339&lt;=$F$5,339,"")</f>
        <v/>
      </c>
      <c r="B348" s="14">
        <f>IF(339&lt;=$F$5,DATE(YEAR($C$7),MONTH($C$7)+338,DAY($C$7)),"")</f>
        <v/>
      </c>
      <c r="C348" s="15">
        <f>IF(339&lt;=$F$5,$F$4,"")</f>
        <v/>
      </c>
      <c r="D348" s="15">
        <f>IF(339&lt;=$F$5,ROUND(F347*$C$5/12,2),"")</f>
        <v/>
      </c>
      <c r="E348" s="15">
        <f>IF(339&lt;=$F$5,C348-D348,"")</f>
        <v/>
      </c>
      <c r="F348" s="15">
        <f>IF(339&lt;=$F$5,IF(339=$F$5,0,F347-E348),"")</f>
        <v/>
      </c>
    </row>
    <row r="349">
      <c r="A349" s="16">
        <f>IF(340&lt;=$F$5,340,"")</f>
        <v/>
      </c>
      <c r="B349" s="17">
        <f>IF(340&lt;=$F$5,DATE(YEAR($C$7),MONTH($C$7)+339,DAY($C$7)),"")</f>
        <v/>
      </c>
      <c r="C349" s="18">
        <f>IF(340&lt;=$F$5,$F$4,"")</f>
        <v/>
      </c>
      <c r="D349" s="18">
        <f>IF(340&lt;=$F$5,ROUND(F348*$C$5/12,2),"")</f>
        <v/>
      </c>
      <c r="E349" s="18">
        <f>IF(340&lt;=$F$5,C349-D349,"")</f>
        <v/>
      </c>
      <c r="F349" s="18">
        <f>IF(340&lt;=$F$5,IF(340=$F$5,0,F348-E349),"")</f>
        <v/>
      </c>
    </row>
    <row r="350">
      <c r="A350" s="13">
        <f>IF(341&lt;=$F$5,341,"")</f>
        <v/>
      </c>
      <c r="B350" s="14">
        <f>IF(341&lt;=$F$5,DATE(YEAR($C$7),MONTH($C$7)+340,DAY($C$7)),"")</f>
        <v/>
      </c>
      <c r="C350" s="15">
        <f>IF(341&lt;=$F$5,$F$4,"")</f>
        <v/>
      </c>
      <c r="D350" s="15">
        <f>IF(341&lt;=$F$5,ROUND(F349*$C$5/12,2),"")</f>
        <v/>
      </c>
      <c r="E350" s="15">
        <f>IF(341&lt;=$F$5,C350-D350,"")</f>
        <v/>
      </c>
      <c r="F350" s="15">
        <f>IF(341&lt;=$F$5,IF(341=$F$5,0,F349-E350),"")</f>
        <v/>
      </c>
    </row>
    <row r="351">
      <c r="A351" s="16">
        <f>IF(342&lt;=$F$5,342,"")</f>
        <v/>
      </c>
      <c r="B351" s="17">
        <f>IF(342&lt;=$F$5,DATE(YEAR($C$7),MONTH($C$7)+341,DAY($C$7)),"")</f>
        <v/>
      </c>
      <c r="C351" s="18">
        <f>IF(342&lt;=$F$5,$F$4,"")</f>
        <v/>
      </c>
      <c r="D351" s="18">
        <f>IF(342&lt;=$F$5,ROUND(F350*$C$5/12,2),"")</f>
        <v/>
      </c>
      <c r="E351" s="18">
        <f>IF(342&lt;=$F$5,C351-D351,"")</f>
        <v/>
      </c>
      <c r="F351" s="18">
        <f>IF(342&lt;=$F$5,IF(342=$F$5,0,F350-E351),"")</f>
        <v/>
      </c>
    </row>
    <row r="352">
      <c r="A352" s="13">
        <f>IF(343&lt;=$F$5,343,"")</f>
        <v/>
      </c>
      <c r="B352" s="14">
        <f>IF(343&lt;=$F$5,DATE(YEAR($C$7),MONTH($C$7)+342,DAY($C$7)),"")</f>
        <v/>
      </c>
      <c r="C352" s="15">
        <f>IF(343&lt;=$F$5,$F$4,"")</f>
        <v/>
      </c>
      <c r="D352" s="15">
        <f>IF(343&lt;=$F$5,ROUND(F351*$C$5/12,2),"")</f>
        <v/>
      </c>
      <c r="E352" s="15">
        <f>IF(343&lt;=$F$5,C352-D352,"")</f>
        <v/>
      </c>
      <c r="F352" s="15">
        <f>IF(343&lt;=$F$5,IF(343=$F$5,0,F351-E352),"")</f>
        <v/>
      </c>
    </row>
    <row r="353">
      <c r="A353" s="16">
        <f>IF(344&lt;=$F$5,344,"")</f>
        <v/>
      </c>
      <c r="B353" s="17">
        <f>IF(344&lt;=$F$5,DATE(YEAR($C$7),MONTH($C$7)+343,DAY($C$7)),"")</f>
        <v/>
      </c>
      <c r="C353" s="18">
        <f>IF(344&lt;=$F$5,$F$4,"")</f>
        <v/>
      </c>
      <c r="D353" s="18">
        <f>IF(344&lt;=$F$5,ROUND(F352*$C$5/12,2),"")</f>
        <v/>
      </c>
      <c r="E353" s="18">
        <f>IF(344&lt;=$F$5,C353-D353,"")</f>
        <v/>
      </c>
      <c r="F353" s="18">
        <f>IF(344&lt;=$F$5,IF(344=$F$5,0,F352-E353),"")</f>
        <v/>
      </c>
    </row>
    <row r="354">
      <c r="A354" s="13">
        <f>IF(345&lt;=$F$5,345,"")</f>
        <v/>
      </c>
      <c r="B354" s="14">
        <f>IF(345&lt;=$F$5,DATE(YEAR($C$7),MONTH($C$7)+344,DAY($C$7)),"")</f>
        <v/>
      </c>
      <c r="C354" s="15">
        <f>IF(345&lt;=$F$5,$F$4,"")</f>
        <v/>
      </c>
      <c r="D354" s="15">
        <f>IF(345&lt;=$F$5,ROUND(F353*$C$5/12,2),"")</f>
        <v/>
      </c>
      <c r="E354" s="15">
        <f>IF(345&lt;=$F$5,C354-D354,"")</f>
        <v/>
      </c>
      <c r="F354" s="15">
        <f>IF(345&lt;=$F$5,IF(345=$F$5,0,F353-E354),"")</f>
        <v/>
      </c>
    </row>
    <row r="355">
      <c r="A355" s="16">
        <f>IF(346&lt;=$F$5,346,"")</f>
        <v/>
      </c>
      <c r="B355" s="17">
        <f>IF(346&lt;=$F$5,DATE(YEAR($C$7),MONTH($C$7)+345,DAY($C$7)),"")</f>
        <v/>
      </c>
      <c r="C355" s="18">
        <f>IF(346&lt;=$F$5,$F$4,"")</f>
        <v/>
      </c>
      <c r="D355" s="18">
        <f>IF(346&lt;=$F$5,ROUND(F354*$C$5/12,2),"")</f>
        <v/>
      </c>
      <c r="E355" s="18">
        <f>IF(346&lt;=$F$5,C355-D355,"")</f>
        <v/>
      </c>
      <c r="F355" s="18">
        <f>IF(346&lt;=$F$5,IF(346=$F$5,0,F354-E355),"")</f>
        <v/>
      </c>
    </row>
    <row r="356">
      <c r="A356" s="13">
        <f>IF(347&lt;=$F$5,347,"")</f>
        <v/>
      </c>
      <c r="B356" s="14">
        <f>IF(347&lt;=$F$5,DATE(YEAR($C$7),MONTH($C$7)+346,DAY($C$7)),"")</f>
        <v/>
      </c>
      <c r="C356" s="15">
        <f>IF(347&lt;=$F$5,$F$4,"")</f>
        <v/>
      </c>
      <c r="D356" s="15">
        <f>IF(347&lt;=$F$5,ROUND(F355*$C$5/12,2),"")</f>
        <v/>
      </c>
      <c r="E356" s="15">
        <f>IF(347&lt;=$F$5,C356-D356,"")</f>
        <v/>
      </c>
      <c r="F356" s="15">
        <f>IF(347&lt;=$F$5,IF(347=$F$5,0,F355-E356),"")</f>
        <v/>
      </c>
    </row>
    <row r="357">
      <c r="A357" s="16">
        <f>IF(348&lt;=$F$5,348,"")</f>
        <v/>
      </c>
      <c r="B357" s="17">
        <f>IF(348&lt;=$F$5,DATE(YEAR($C$7),MONTH($C$7)+347,DAY($C$7)),"")</f>
        <v/>
      </c>
      <c r="C357" s="18">
        <f>IF(348&lt;=$F$5,$F$4,"")</f>
        <v/>
      </c>
      <c r="D357" s="18">
        <f>IF(348&lt;=$F$5,ROUND(F356*$C$5/12,2),"")</f>
        <v/>
      </c>
      <c r="E357" s="18">
        <f>IF(348&lt;=$F$5,C357-D357,"")</f>
        <v/>
      </c>
      <c r="F357" s="18">
        <f>IF(348&lt;=$F$5,IF(348=$F$5,0,F356-E357),"")</f>
        <v/>
      </c>
    </row>
    <row r="358">
      <c r="A358" s="13">
        <f>IF(349&lt;=$F$5,349,"")</f>
        <v/>
      </c>
      <c r="B358" s="14">
        <f>IF(349&lt;=$F$5,DATE(YEAR($C$7),MONTH($C$7)+348,DAY($C$7)),"")</f>
        <v/>
      </c>
      <c r="C358" s="15">
        <f>IF(349&lt;=$F$5,$F$4,"")</f>
        <v/>
      </c>
      <c r="D358" s="15">
        <f>IF(349&lt;=$F$5,ROUND(F357*$C$5/12,2),"")</f>
        <v/>
      </c>
      <c r="E358" s="15">
        <f>IF(349&lt;=$F$5,C358-D358,"")</f>
        <v/>
      </c>
      <c r="F358" s="15">
        <f>IF(349&lt;=$F$5,IF(349=$F$5,0,F357-E358),"")</f>
        <v/>
      </c>
    </row>
    <row r="359">
      <c r="A359" s="16">
        <f>IF(350&lt;=$F$5,350,"")</f>
        <v/>
      </c>
      <c r="B359" s="17">
        <f>IF(350&lt;=$F$5,DATE(YEAR($C$7),MONTH($C$7)+349,DAY($C$7)),"")</f>
        <v/>
      </c>
      <c r="C359" s="18">
        <f>IF(350&lt;=$F$5,$F$4,"")</f>
        <v/>
      </c>
      <c r="D359" s="18">
        <f>IF(350&lt;=$F$5,ROUND(F358*$C$5/12,2),"")</f>
        <v/>
      </c>
      <c r="E359" s="18">
        <f>IF(350&lt;=$F$5,C359-D359,"")</f>
        <v/>
      </c>
      <c r="F359" s="18">
        <f>IF(350&lt;=$F$5,IF(350=$F$5,0,F358-E359),"")</f>
        <v/>
      </c>
    </row>
    <row r="360">
      <c r="A360" s="13">
        <f>IF(351&lt;=$F$5,351,"")</f>
        <v/>
      </c>
      <c r="B360" s="14">
        <f>IF(351&lt;=$F$5,DATE(YEAR($C$7),MONTH($C$7)+350,DAY($C$7)),"")</f>
        <v/>
      </c>
      <c r="C360" s="15">
        <f>IF(351&lt;=$F$5,$F$4,"")</f>
        <v/>
      </c>
      <c r="D360" s="15">
        <f>IF(351&lt;=$F$5,ROUND(F359*$C$5/12,2),"")</f>
        <v/>
      </c>
      <c r="E360" s="15">
        <f>IF(351&lt;=$F$5,C360-D360,"")</f>
        <v/>
      </c>
      <c r="F360" s="15">
        <f>IF(351&lt;=$F$5,IF(351=$F$5,0,F359-E360),"")</f>
        <v/>
      </c>
    </row>
    <row r="361">
      <c r="A361" s="16">
        <f>IF(352&lt;=$F$5,352,"")</f>
        <v/>
      </c>
      <c r="B361" s="17">
        <f>IF(352&lt;=$F$5,DATE(YEAR($C$7),MONTH($C$7)+351,DAY($C$7)),"")</f>
        <v/>
      </c>
      <c r="C361" s="18">
        <f>IF(352&lt;=$F$5,$F$4,"")</f>
        <v/>
      </c>
      <c r="D361" s="18">
        <f>IF(352&lt;=$F$5,ROUND(F360*$C$5/12,2),"")</f>
        <v/>
      </c>
      <c r="E361" s="18">
        <f>IF(352&lt;=$F$5,C361-D361,"")</f>
        <v/>
      </c>
      <c r="F361" s="18">
        <f>IF(352&lt;=$F$5,IF(352=$F$5,0,F360-E361),"")</f>
        <v/>
      </c>
    </row>
    <row r="362">
      <c r="A362" s="13">
        <f>IF(353&lt;=$F$5,353,"")</f>
        <v/>
      </c>
      <c r="B362" s="14">
        <f>IF(353&lt;=$F$5,DATE(YEAR($C$7),MONTH($C$7)+352,DAY($C$7)),"")</f>
        <v/>
      </c>
      <c r="C362" s="15">
        <f>IF(353&lt;=$F$5,$F$4,"")</f>
        <v/>
      </c>
      <c r="D362" s="15">
        <f>IF(353&lt;=$F$5,ROUND(F361*$C$5/12,2),"")</f>
        <v/>
      </c>
      <c r="E362" s="15">
        <f>IF(353&lt;=$F$5,C362-D362,"")</f>
        <v/>
      </c>
      <c r="F362" s="15">
        <f>IF(353&lt;=$F$5,IF(353=$F$5,0,F361-E362),"")</f>
        <v/>
      </c>
    </row>
    <row r="363">
      <c r="A363" s="16">
        <f>IF(354&lt;=$F$5,354,"")</f>
        <v/>
      </c>
      <c r="B363" s="17">
        <f>IF(354&lt;=$F$5,DATE(YEAR($C$7),MONTH($C$7)+353,DAY($C$7)),"")</f>
        <v/>
      </c>
      <c r="C363" s="18">
        <f>IF(354&lt;=$F$5,$F$4,"")</f>
        <v/>
      </c>
      <c r="D363" s="18">
        <f>IF(354&lt;=$F$5,ROUND(F362*$C$5/12,2),"")</f>
        <v/>
      </c>
      <c r="E363" s="18">
        <f>IF(354&lt;=$F$5,C363-D363,"")</f>
        <v/>
      </c>
      <c r="F363" s="18">
        <f>IF(354&lt;=$F$5,IF(354=$F$5,0,F362-E363),"")</f>
        <v/>
      </c>
    </row>
    <row r="364">
      <c r="A364" s="13">
        <f>IF(355&lt;=$F$5,355,"")</f>
        <v/>
      </c>
      <c r="B364" s="14">
        <f>IF(355&lt;=$F$5,DATE(YEAR($C$7),MONTH($C$7)+354,DAY($C$7)),"")</f>
        <v/>
      </c>
      <c r="C364" s="15">
        <f>IF(355&lt;=$F$5,$F$4,"")</f>
        <v/>
      </c>
      <c r="D364" s="15">
        <f>IF(355&lt;=$F$5,ROUND(F363*$C$5/12,2),"")</f>
        <v/>
      </c>
      <c r="E364" s="15">
        <f>IF(355&lt;=$F$5,C364-D364,"")</f>
        <v/>
      </c>
      <c r="F364" s="15">
        <f>IF(355&lt;=$F$5,IF(355=$F$5,0,F363-E364),"")</f>
        <v/>
      </c>
    </row>
    <row r="365">
      <c r="A365" s="16">
        <f>IF(356&lt;=$F$5,356,"")</f>
        <v/>
      </c>
      <c r="B365" s="17">
        <f>IF(356&lt;=$F$5,DATE(YEAR($C$7),MONTH($C$7)+355,DAY($C$7)),"")</f>
        <v/>
      </c>
      <c r="C365" s="18">
        <f>IF(356&lt;=$F$5,$F$4,"")</f>
        <v/>
      </c>
      <c r="D365" s="18">
        <f>IF(356&lt;=$F$5,ROUND(F364*$C$5/12,2),"")</f>
        <v/>
      </c>
      <c r="E365" s="18">
        <f>IF(356&lt;=$F$5,C365-D365,"")</f>
        <v/>
      </c>
      <c r="F365" s="18">
        <f>IF(356&lt;=$F$5,IF(356=$F$5,0,F364-E365),"")</f>
        <v/>
      </c>
    </row>
    <row r="366">
      <c r="A366" s="13">
        <f>IF(357&lt;=$F$5,357,"")</f>
        <v/>
      </c>
      <c r="B366" s="14">
        <f>IF(357&lt;=$F$5,DATE(YEAR($C$7),MONTH($C$7)+356,DAY($C$7)),"")</f>
        <v/>
      </c>
      <c r="C366" s="15">
        <f>IF(357&lt;=$F$5,$F$4,"")</f>
        <v/>
      </c>
      <c r="D366" s="15">
        <f>IF(357&lt;=$F$5,ROUND(F365*$C$5/12,2),"")</f>
        <v/>
      </c>
      <c r="E366" s="15">
        <f>IF(357&lt;=$F$5,C366-D366,"")</f>
        <v/>
      </c>
      <c r="F366" s="15">
        <f>IF(357&lt;=$F$5,IF(357=$F$5,0,F365-E366),"")</f>
        <v/>
      </c>
    </row>
    <row r="367">
      <c r="A367" s="16">
        <f>IF(358&lt;=$F$5,358,"")</f>
        <v/>
      </c>
      <c r="B367" s="17">
        <f>IF(358&lt;=$F$5,DATE(YEAR($C$7),MONTH($C$7)+357,DAY($C$7)),"")</f>
        <v/>
      </c>
      <c r="C367" s="18">
        <f>IF(358&lt;=$F$5,$F$4,"")</f>
        <v/>
      </c>
      <c r="D367" s="18">
        <f>IF(358&lt;=$F$5,ROUND(F366*$C$5/12,2),"")</f>
        <v/>
      </c>
      <c r="E367" s="18">
        <f>IF(358&lt;=$F$5,C367-D367,"")</f>
        <v/>
      </c>
      <c r="F367" s="18">
        <f>IF(358&lt;=$F$5,IF(358=$F$5,0,F366-E367),"")</f>
        <v/>
      </c>
    </row>
    <row r="368">
      <c r="A368" s="13">
        <f>IF(359&lt;=$F$5,359,"")</f>
        <v/>
      </c>
      <c r="B368" s="14">
        <f>IF(359&lt;=$F$5,DATE(YEAR($C$7),MONTH($C$7)+358,DAY($C$7)),"")</f>
        <v/>
      </c>
      <c r="C368" s="15">
        <f>IF(359&lt;=$F$5,$F$4,"")</f>
        <v/>
      </c>
      <c r="D368" s="15">
        <f>IF(359&lt;=$F$5,ROUND(F367*$C$5/12,2),"")</f>
        <v/>
      </c>
      <c r="E368" s="15">
        <f>IF(359&lt;=$F$5,C368-D368,"")</f>
        <v/>
      </c>
      <c r="F368" s="15">
        <f>IF(359&lt;=$F$5,IF(359=$F$5,0,F367-E368),"")</f>
        <v/>
      </c>
    </row>
    <row r="369">
      <c r="A369" s="16">
        <f>IF(360&lt;=$F$5,360,"")</f>
        <v/>
      </c>
      <c r="B369" s="17">
        <f>IF(360&lt;=$F$5,DATE(YEAR($C$7),MONTH($C$7)+359,DAY($C$7)),"")</f>
        <v/>
      </c>
      <c r="C369" s="18">
        <f>IF(360&lt;=$F$5,$F$4,"")</f>
        <v/>
      </c>
      <c r="D369" s="18">
        <f>IF(360&lt;=$F$5,ROUND(F368*$C$5/12,2),"")</f>
        <v/>
      </c>
      <c r="E369" s="18">
        <f>IF(360&lt;=$F$5,C369-D369,"")</f>
        <v/>
      </c>
      <c r="F369" s="18">
        <f>IF(360&lt;=$F$5,IF(360=$F$5,0,F368-E369),"")</f>
        <v/>
      </c>
    </row>
    <row r="371">
      <c r="A371" s="11" t="inlineStr">
        <is>
          <t>Plantilla gratuita de plantillasdeexcel.es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Cuadro de amortización de un préstamo o hipoteca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